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1.xml" ContentType="application/vnd.openxmlformats-officedocument.drawing+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V:\PrivateFolders\Grants\Michael TEMP\DoT RAISE Grant\BCA\"/>
    </mc:Choice>
  </mc:AlternateContent>
  <xr:revisionPtr revIDLastSave="0" documentId="8_{04758C19-AD93-4116-8A77-9F2B106DC19E}" xr6:coauthVersionLast="45" xr6:coauthVersionMax="45" xr10:uidLastSave="{00000000-0000-0000-0000-000000000000}"/>
  <bookViews>
    <workbookView xWindow="-110" yWindow="-110" windowWidth="19420" windowHeight="10420" activeTab="11" xr2:uid="{64A81992-611E-4EB2-BE78-3F0455B70955}"/>
  </bookViews>
  <sheets>
    <sheet name="BCA" sheetId="1" r:id="rId1"/>
    <sheet name="Costs" sheetId="2" r:id="rId2"/>
    <sheet name="Recreation" sheetId="3" r:id="rId3"/>
    <sheet name="Decreased Auto Use" sheetId="4" r:id="rId4"/>
    <sheet name="Environment" sheetId="6" r:id="rId5"/>
    <sheet name="Mobility" sheetId="8" r:id="rId6"/>
    <sheet name="Health" sheetId="5" r:id="rId7"/>
    <sheet name="Safety" sheetId="7" r:id="rId8"/>
    <sheet name="Time Saving" sheetId="10" r:id="rId9"/>
    <sheet name="Sensitivity Analysis" sheetId="11" r:id="rId10"/>
    <sheet name="Cost Timeline" sheetId="9" r:id="rId11"/>
    <sheet name="Census Data" sheetId="12"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3" i="3" l="1"/>
  <c r="A24" i="3" s="1"/>
  <c r="A22" i="3"/>
  <c r="K10" i="7" l="1"/>
  <c r="B49" i="6"/>
  <c r="O52" i="6" s="1"/>
  <c r="B40" i="6"/>
  <c r="O40" i="6" s="1"/>
  <c r="O45" i="6" s="1"/>
  <c r="B39" i="6"/>
  <c r="R39" i="6" s="1"/>
  <c r="R44" i="6" s="1"/>
  <c r="B38" i="6"/>
  <c r="N14" i="6"/>
  <c r="D30" i="6"/>
  <c r="F30" i="6"/>
  <c r="E30" i="6"/>
  <c r="D5" i="10"/>
  <c r="D4" i="10"/>
  <c r="D6" i="10" s="1"/>
  <c r="A10" i="10" s="1"/>
  <c r="B3" i="2"/>
  <c r="H24" i="9"/>
  <c r="F24" i="9"/>
  <c r="D24" i="9"/>
  <c r="H23" i="9"/>
  <c r="F23" i="9"/>
  <c r="D23" i="9"/>
  <c r="H22" i="9"/>
  <c r="H25" i="9" s="1"/>
  <c r="F22" i="9"/>
  <c r="D22" i="9"/>
  <c r="C20" i="9"/>
  <c r="C22" i="9" s="1"/>
  <c r="I19" i="9"/>
  <c r="I18" i="9"/>
  <c r="G17" i="9"/>
  <c r="E17" i="9"/>
  <c r="E24" i="9" s="1"/>
  <c r="I16" i="9"/>
  <c r="I15" i="9"/>
  <c r="I14" i="9"/>
  <c r="I13" i="9"/>
  <c r="I12" i="9"/>
  <c r="I11" i="9"/>
  <c r="G10" i="9"/>
  <c r="G22" i="9" s="1"/>
  <c r="I9" i="9"/>
  <c r="I8" i="9"/>
  <c r="G8" i="9"/>
  <c r="I7" i="9"/>
  <c r="I4" i="9"/>
  <c r="R38" i="6" l="1"/>
  <c r="R43" i="6" s="1"/>
  <c r="O38" i="6"/>
  <c r="G23" i="9"/>
  <c r="M52" i="6"/>
  <c r="D25" i="9"/>
  <c r="F25" i="9"/>
  <c r="N19" i="6"/>
  <c r="Q14" i="10"/>
  <c r="V14" i="10"/>
  <c r="AA14" i="10"/>
  <c r="AF14" i="10"/>
  <c r="S14" i="10"/>
  <c r="N14" i="10"/>
  <c r="A14" i="10" s="1"/>
  <c r="R14" i="10"/>
  <c r="W14" i="10"/>
  <c r="AB14" i="10"/>
  <c r="AG14" i="10"/>
  <c r="O14" i="10"/>
  <c r="T14" i="10"/>
  <c r="Y14" i="10"/>
  <c r="AD14" i="10"/>
  <c r="P14" i="10"/>
  <c r="U14" i="10"/>
  <c r="Z14" i="10"/>
  <c r="AE14" i="10"/>
  <c r="X14" i="10"/>
  <c r="AC14" i="10"/>
  <c r="AA39" i="6"/>
  <c r="AA44" i="6" s="1"/>
  <c r="AD38" i="6"/>
  <c r="AD43" i="6" s="1"/>
  <c r="V38" i="6"/>
  <c r="V43" i="6" s="1"/>
  <c r="AA38" i="6"/>
  <c r="AA43" i="6" s="1"/>
  <c r="U38" i="6"/>
  <c r="U43" i="6" s="1"/>
  <c r="AE38" i="6"/>
  <c r="AE43" i="6" s="1"/>
  <c r="T38" i="6"/>
  <c r="T43" i="6" s="1"/>
  <c r="AC40" i="6"/>
  <c r="AC45" i="6" s="1"/>
  <c r="Q39" i="6"/>
  <c r="Q44" i="6" s="1"/>
  <c r="AE39" i="6"/>
  <c r="AE44" i="6" s="1"/>
  <c r="V39" i="6"/>
  <c r="V44" i="6" s="1"/>
  <c r="O39" i="6"/>
  <c r="O44" i="6" s="1"/>
  <c r="AG40" i="6"/>
  <c r="AG45" i="6" s="1"/>
  <c r="X40" i="6"/>
  <c r="X45" i="6" s="1"/>
  <c r="Q40" i="6"/>
  <c r="Q45" i="6" s="1"/>
  <c r="AF52" i="6"/>
  <c r="W52" i="6"/>
  <c r="N52" i="6"/>
  <c r="AD39" i="6"/>
  <c r="AD44" i="6" s="1"/>
  <c r="U39" i="6"/>
  <c r="U44" i="6" s="1"/>
  <c r="AF40" i="6"/>
  <c r="AF45" i="6" s="1"/>
  <c r="W40" i="6"/>
  <c r="W45" i="6" s="1"/>
  <c r="N40" i="6"/>
  <c r="N45" i="6" s="1"/>
  <c r="AC52" i="6"/>
  <c r="V52" i="6"/>
  <c r="T39" i="6"/>
  <c r="T44" i="6" s="1"/>
  <c r="V40" i="6"/>
  <c r="V45" i="6" s="1"/>
  <c r="AB52" i="6"/>
  <c r="S52" i="6"/>
  <c r="AB40" i="6"/>
  <c r="AB45" i="6" s="1"/>
  <c r="S40" i="6"/>
  <c r="S45" i="6" s="1"/>
  <c r="AA52" i="6"/>
  <c r="R52" i="6"/>
  <c r="Z39" i="6"/>
  <c r="Z44" i="6" s="1"/>
  <c r="AF39" i="6"/>
  <c r="AF44" i="6" s="1"/>
  <c r="Y39" i="6"/>
  <c r="Y44" i="6" s="1"/>
  <c r="P39" i="6"/>
  <c r="P44" i="6" s="1"/>
  <c r="M40" i="6"/>
  <c r="AA40" i="6"/>
  <c r="AA45" i="6" s="1"/>
  <c r="R40" i="6"/>
  <c r="R45" i="6" s="1"/>
  <c r="AG52" i="6"/>
  <c r="X52" i="6"/>
  <c r="Q52" i="6"/>
  <c r="Z38" i="6"/>
  <c r="Z43" i="6" s="1"/>
  <c r="Q38" i="6"/>
  <c r="Q43" i="6" s="1"/>
  <c r="AE40" i="6"/>
  <c r="AE45" i="6" s="1"/>
  <c r="Z40" i="6"/>
  <c r="Z45" i="6" s="1"/>
  <c r="U40" i="6"/>
  <c r="U45" i="6" s="1"/>
  <c r="P40" i="6"/>
  <c r="P45" i="6" s="1"/>
  <c r="AE52" i="6"/>
  <c r="Z52" i="6"/>
  <c r="U52" i="6"/>
  <c r="P52" i="6"/>
  <c r="AF38" i="6"/>
  <c r="AF43" i="6" s="1"/>
  <c r="Y38" i="6"/>
  <c r="Y43" i="6" s="1"/>
  <c r="P38" i="6"/>
  <c r="P43" i="6" s="1"/>
  <c r="AD40" i="6"/>
  <c r="AD45" i="6" s="1"/>
  <c r="Y40" i="6"/>
  <c r="Y45" i="6" s="1"/>
  <c r="T40" i="6"/>
  <c r="T45" i="6" s="1"/>
  <c r="AD52" i="6"/>
  <c r="Y52" i="6"/>
  <c r="T52" i="6"/>
  <c r="M39" i="6"/>
  <c r="AC39" i="6"/>
  <c r="AC44" i="6" s="1"/>
  <c r="X39" i="6"/>
  <c r="X44" i="6" s="1"/>
  <c r="S39" i="6"/>
  <c r="S44" i="6" s="1"/>
  <c r="N39" i="6"/>
  <c r="N44" i="6" s="1"/>
  <c r="AG39" i="6"/>
  <c r="AG44" i="6" s="1"/>
  <c r="AB39" i="6"/>
  <c r="AB44" i="6" s="1"/>
  <c r="W39" i="6"/>
  <c r="W44" i="6" s="1"/>
  <c r="O43" i="6"/>
  <c r="M38" i="6"/>
  <c r="AC38" i="6"/>
  <c r="AC43" i="6" s="1"/>
  <c r="X38" i="6"/>
  <c r="X43" i="6" s="1"/>
  <c r="S38" i="6"/>
  <c r="S43" i="6" s="1"/>
  <c r="N38" i="6"/>
  <c r="N43" i="6" s="1"/>
  <c r="AG38" i="6"/>
  <c r="AG43" i="6" s="1"/>
  <c r="AB38" i="6"/>
  <c r="AB43" i="6" s="1"/>
  <c r="W38" i="6"/>
  <c r="W43" i="6" s="1"/>
  <c r="I22" i="9"/>
  <c r="I20" i="9"/>
  <c r="E22" i="9"/>
  <c r="C23" i="9"/>
  <c r="I17" i="9"/>
  <c r="C21" i="9"/>
  <c r="I21" i="9" s="1"/>
  <c r="G24" i="9"/>
  <c r="G25" i="9" s="1"/>
  <c r="I10" i="9"/>
  <c r="E23" i="9"/>
  <c r="E25" i="9" s="1"/>
  <c r="C24" i="9"/>
  <c r="AH40" i="6" l="1"/>
  <c r="B55" i="6" s="1"/>
  <c r="M44" i="6"/>
  <c r="A44" i="6" s="1"/>
  <c r="AH39" i="6"/>
  <c r="M43" i="6"/>
  <c r="A43" i="6" s="1"/>
  <c r="A55" i="6" s="1"/>
  <c r="AH38" i="6"/>
  <c r="A52" i="6"/>
  <c r="M45" i="6"/>
  <c r="A45" i="6" s="1"/>
  <c r="I23" i="9"/>
  <c r="I24" i="9"/>
  <c r="C25" i="9"/>
  <c r="I25" i="9" l="1"/>
  <c r="AD16" i="6"/>
  <c r="AD21" i="6" s="1"/>
  <c r="AE16" i="6"/>
  <c r="AE21" i="6" s="1"/>
  <c r="AF16" i="6"/>
  <c r="AF21" i="6" s="1"/>
  <c r="AG16" i="6"/>
  <c r="AG21" i="6" s="1"/>
  <c r="AD15" i="6"/>
  <c r="AD20" i="6" s="1"/>
  <c r="AE15" i="6"/>
  <c r="AE20" i="6" s="1"/>
  <c r="AF15" i="6"/>
  <c r="AF20" i="6" s="1"/>
  <c r="AG15" i="6"/>
  <c r="AG20" i="6" s="1"/>
  <c r="AD14" i="6"/>
  <c r="AD19" i="6" s="1"/>
  <c r="AE14" i="6"/>
  <c r="AE19" i="6" s="1"/>
  <c r="AF14" i="6"/>
  <c r="AF19" i="6" s="1"/>
  <c r="AG14" i="6"/>
  <c r="AG19" i="6" s="1"/>
  <c r="O15" i="6"/>
  <c r="O20" i="6" s="1"/>
  <c r="N15" i="6"/>
  <c r="N16" i="6"/>
  <c r="AD14" i="5"/>
  <c r="AE14" i="5"/>
  <c r="AF14" i="5"/>
  <c r="AG14" i="5"/>
  <c r="AD14" i="8"/>
  <c r="AE14" i="8"/>
  <c r="AF14" i="8"/>
  <c r="AG14" i="8"/>
  <c r="AD13" i="4"/>
  <c r="AE13" i="4"/>
  <c r="AF13" i="4"/>
  <c r="AG13" i="4"/>
  <c r="N13" i="4"/>
  <c r="J13" i="4"/>
  <c r="N20" i="6" l="1"/>
  <c r="N21" i="6"/>
  <c r="AE14" i="2"/>
  <c r="AF14" i="2"/>
  <c r="AG14" i="2"/>
  <c r="AH14" i="2"/>
  <c r="O14" i="2"/>
  <c r="H8" i="2" l="1"/>
  <c r="J13" i="2" s="1"/>
  <c r="I8" i="2"/>
  <c r="K13" i="2" s="1"/>
  <c r="J8" i="2"/>
  <c r="L13" i="2" s="1"/>
  <c r="K8" i="2"/>
  <c r="M13" i="2" s="1"/>
  <c r="L8" i="2"/>
  <c r="N13" i="2" s="1"/>
  <c r="G8" i="2"/>
  <c r="AB14" i="2"/>
  <c r="AC14" i="2"/>
  <c r="AD14" i="2"/>
  <c r="N14" i="5" l="1"/>
  <c r="O14" i="5"/>
  <c r="P14" i="5"/>
  <c r="Q14" i="5"/>
  <c r="R14" i="5"/>
  <c r="S14" i="5"/>
  <c r="T14" i="5"/>
  <c r="U14" i="5"/>
  <c r="V14" i="5"/>
  <c r="W14" i="5"/>
  <c r="X14" i="5"/>
  <c r="Y14" i="5"/>
  <c r="Z14" i="5"/>
  <c r="AA14" i="5"/>
  <c r="AB14" i="5"/>
  <c r="AC14" i="5"/>
  <c r="O13" i="4"/>
  <c r="P13" i="4"/>
  <c r="Q13" i="4"/>
  <c r="R13" i="4"/>
  <c r="S13" i="4"/>
  <c r="T13" i="4"/>
  <c r="U13" i="4"/>
  <c r="V13" i="4"/>
  <c r="W13" i="4"/>
  <c r="X13" i="4"/>
  <c r="Y13" i="4"/>
  <c r="Z13" i="4"/>
  <c r="AA13" i="4"/>
  <c r="AB13" i="4"/>
  <c r="AC13" i="4"/>
  <c r="N14" i="8"/>
  <c r="A14" i="8" s="1"/>
  <c r="O14" i="8"/>
  <c r="P14" i="8"/>
  <c r="Q14" i="8"/>
  <c r="R14" i="8"/>
  <c r="S14" i="8"/>
  <c r="T14" i="8"/>
  <c r="U14" i="8"/>
  <c r="V14" i="8"/>
  <c r="W14" i="8"/>
  <c r="X14" i="8"/>
  <c r="Y14" i="8"/>
  <c r="Z14" i="8"/>
  <c r="AA14" i="8"/>
  <c r="AB14" i="8"/>
  <c r="AC14" i="8"/>
  <c r="A13" i="4" l="1"/>
  <c r="A14" i="5"/>
  <c r="E16" i="7"/>
  <c r="E17" i="7"/>
  <c r="E18" i="7"/>
  <c r="E19" i="7"/>
  <c r="E15" i="7"/>
  <c r="B22" i="7" l="1"/>
  <c r="C22" i="7" s="1"/>
  <c r="AC16" i="6"/>
  <c r="AC21" i="6" s="1"/>
  <c r="K21" i="6"/>
  <c r="L21" i="6"/>
  <c r="M21" i="6"/>
  <c r="O16" i="6"/>
  <c r="P16" i="6"/>
  <c r="P21" i="6" s="1"/>
  <c r="Q16" i="6"/>
  <c r="Q21" i="6" s="1"/>
  <c r="R16" i="6"/>
  <c r="R21" i="6" s="1"/>
  <c r="S16" i="6"/>
  <c r="S21" i="6" s="1"/>
  <c r="T16" i="6"/>
  <c r="T21" i="6" s="1"/>
  <c r="U16" i="6"/>
  <c r="U21" i="6" s="1"/>
  <c r="V16" i="6"/>
  <c r="V21" i="6" s="1"/>
  <c r="W16" i="6"/>
  <c r="W21" i="6" s="1"/>
  <c r="X16" i="6"/>
  <c r="X21" i="6" s="1"/>
  <c r="Y16" i="6"/>
  <c r="Y21" i="6" s="1"/>
  <c r="Z16" i="6"/>
  <c r="Z21" i="6" s="1"/>
  <c r="AA16" i="6"/>
  <c r="AA21" i="6" s="1"/>
  <c r="AB16" i="6"/>
  <c r="AB21" i="6" s="1"/>
  <c r="K20" i="6"/>
  <c r="L20" i="6"/>
  <c r="M20" i="6"/>
  <c r="P15" i="6"/>
  <c r="Q15" i="6"/>
  <c r="Q20" i="6" s="1"/>
  <c r="R15" i="6"/>
  <c r="R20" i="6" s="1"/>
  <c r="S15" i="6"/>
  <c r="S20" i="6" s="1"/>
  <c r="T15" i="6"/>
  <c r="T20" i="6" s="1"/>
  <c r="U15" i="6"/>
  <c r="U20" i="6" s="1"/>
  <c r="V15" i="6"/>
  <c r="V20" i="6" s="1"/>
  <c r="W15" i="6"/>
  <c r="W20" i="6" s="1"/>
  <c r="X15" i="6"/>
  <c r="X20" i="6" s="1"/>
  <c r="Y15" i="6"/>
  <c r="Y20" i="6" s="1"/>
  <c r="Z15" i="6"/>
  <c r="Z20" i="6" s="1"/>
  <c r="AA15" i="6"/>
  <c r="AA20" i="6" s="1"/>
  <c r="AB15" i="6"/>
  <c r="AB20" i="6" s="1"/>
  <c r="AC15" i="6"/>
  <c r="AC20" i="6" s="1"/>
  <c r="AC14" i="6"/>
  <c r="AC19" i="6" s="1"/>
  <c r="K19" i="6"/>
  <c r="L19" i="6"/>
  <c r="M19" i="6"/>
  <c r="O14" i="6"/>
  <c r="P14" i="6"/>
  <c r="P19" i="6" s="1"/>
  <c r="Q14" i="6"/>
  <c r="Q19" i="6" s="1"/>
  <c r="R14" i="6"/>
  <c r="R19" i="6" s="1"/>
  <c r="S14" i="6"/>
  <c r="S19" i="6" s="1"/>
  <c r="T14" i="6"/>
  <c r="T19" i="6" s="1"/>
  <c r="U14" i="6"/>
  <c r="U19" i="6" s="1"/>
  <c r="V14" i="6"/>
  <c r="V19" i="6" s="1"/>
  <c r="W14" i="6"/>
  <c r="W19" i="6" s="1"/>
  <c r="X14" i="6"/>
  <c r="X19" i="6" s="1"/>
  <c r="Y14" i="6"/>
  <c r="Y19" i="6" s="1"/>
  <c r="Z14" i="6"/>
  <c r="Z19" i="6" s="1"/>
  <c r="AA14" i="6"/>
  <c r="AA19" i="6" s="1"/>
  <c r="AB14" i="6"/>
  <c r="AB19" i="6" s="1"/>
  <c r="I14" i="6"/>
  <c r="P20" i="6" l="1"/>
  <c r="A20" i="6" s="1"/>
  <c r="AI15" i="6"/>
  <c r="O19" i="6"/>
  <c r="A19" i="6" s="1"/>
  <c r="AI14" i="6"/>
  <c r="AI16" i="6"/>
  <c r="AH26" i="7"/>
  <c r="AI26" i="7"/>
  <c r="AF26" i="7"/>
  <c r="AG26" i="7"/>
  <c r="P26" i="7"/>
  <c r="O21" i="6"/>
  <c r="A21" i="6" s="1"/>
  <c r="J20" i="6"/>
  <c r="U26" i="7"/>
  <c r="Z26" i="7"/>
  <c r="AE26" i="7"/>
  <c r="Q26" i="7"/>
  <c r="V26" i="7"/>
  <c r="AA26" i="7"/>
  <c r="R26" i="7"/>
  <c r="W26" i="7"/>
  <c r="AB26" i="7"/>
  <c r="S26" i="7"/>
  <c r="X26" i="7"/>
  <c r="AC26" i="7"/>
  <c r="T26" i="7"/>
  <c r="Y26" i="7"/>
  <c r="AD26" i="7"/>
  <c r="J19" i="6"/>
  <c r="A22" i="6" l="1"/>
  <c r="A59" i="6" s="1"/>
  <c r="A26" i="7"/>
  <c r="AI17" i="6"/>
  <c r="B59" i="6" s="1"/>
  <c r="C9" i="3" l="1"/>
  <c r="P14" i="2"/>
  <c r="Q14" i="2"/>
  <c r="R14" i="2"/>
  <c r="S14" i="2"/>
  <c r="T14" i="2"/>
  <c r="U14" i="2"/>
  <c r="V14" i="2"/>
  <c r="W14" i="2"/>
  <c r="X14" i="2"/>
  <c r="Y14" i="2"/>
  <c r="Z14" i="2"/>
  <c r="AA14" i="2"/>
  <c r="I13" i="2"/>
  <c r="B17" i="2" l="1"/>
  <c r="B5" i="1"/>
  <c r="A17" i="2"/>
  <c r="A13" i="2"/>
  <c r="AD14" i="3"/>
  <c r="AE14" i="3"/>
  <c r="AF14" i="3"/>
  <c r="AG14" i="3"/>
  <c r="N14" i="3"/>
  <c r="AA14" i="3"/>
  <c r="AB14" i="3"/>
  <c r="AC14" i="3"/>
  <c r="Q14" i="3"/>
  <c r="V14" i="3"/>
  <c r="R14" i="3"/>
  <c r="W14" i="3"/>
  <c r="O14" i="3"/>
  <c r="Z14" i="3"/>
  <c r="S14" i="3"/>
  <c r="X14" i="3"/>
  <c r="P14" i="3"/>
  <c r="T14" i="3"/>
  <c r="Y14" i="3"/>
  <c r="U14" i="3"/>
  <c r="A14" i="3" l="1"/>
  <c r="A5" i="1" s="1"/>
  <c r="C5" i="1" s="1"/>
  <c r="D5" i="1" l="1"/>
</calcChain>
</file>

<file path=xl/sharedStrings.xml><?xml version="1.0" encoding="utf-8"?>
<sst xmlns="http://schemas.openxmlformats.org/spreadsheetml/2006/main" count="233" uniqueCount="167">
  <si>
    <t>Nominal Costs</t>
  </si>
  <si>
    <t>Category</t>
  </si>
  <si>
    <t>Construction</t>
  </si>
  <si>
    <t>Maintenance</t>
  </si>
  <si>
    <t>PV of Costs</t>
  </si>
  <si>
    <t>Total</t>
  </si>
  <si>
    <t>Discount</t>
  </si>
  <si>
    <t>Construc.</t>
  </si>
  <si>
    <t>Maint.</t>
  </si>
  <si>
    <t>Distance</t>
  </si>
  <si>
    <t>2,092 meters</t>
  </si>
  <si>
    <t>Existing Bicycle Commuters</t>
  </si>
  <si>
    <t>New Bicycle Commuters</t>
  </si>
  <si>
    <t>Total Existing Cyclists</t>
  </si>
  <si>
    <t>Total New Cyclists</t>
  </si>
  <si>
    <t>Annual Recreation Benefit*</t>
  </si>
  <si>
    <t>PV of Recreation Benefits</t>
  </si>
  <si>
    <t>Total PV</t>
  </si>
  <si>
    <t>Discount Rate</t>
  </si>
  <si>
    <t>* $.17 comes BLS inflation calculator from .13 in 2006</t>
  </si>
  <si>
    <t>*(total new cyclists-total new commuters) (2097-33)=2064</t>
  </si>
  <si>
    <t>CO2</t>
  </si>
  <si>
    <t>PM2.5</t>
  </si>
  <si>
    <t>Nox</t>
  </si>
  <si>
    <t>4.6 metric ton</t>
  </si>
  <si>
    <t>U.S EPA https://www.epa.gov/greenvehicles/greenhouse-gas-emissions-typical-passenger-vehicle#burning</t>
  </si>
  <si>
    <t>benefits (2020)</t>
  </si>
  <si>
    <t>PV</t>
  </si>
  <si>
    <t>emission type</t>
  </si>
  <si>
    <t>Nominal Value (year)</t>
  </si>
  <si>
    <t>NOx</t>
  </si>
  <si>
    <t>Emission Type</t>
  </si>
  <si>
    <t>CO2 Discount:</t>
  </si>
  <si>
    <t>Average Annual Benefits</t>
  </si>
  <si>
    <t>No Injury</t>
  </si>
  <si>
    <t>Possible</t>
  </si>
  <si>
    <t>Fatal</t>
  </si>
  <si>
    <t>Average Annual Crash Data</t>
  </si>
  <si>
    <t>Accident Severity</t>
  </si>
  <si>
    <t>K</t>
  </si>
  <si>
    <t>A</t>
  </si>
  <si>
    <t>Incapacitating</t>
  </si>
  <si>
    <t>B</t>
  </si>
  <si>
    <t>Non-incapacitating</t>
  </si>
  <si>
    <t>C</t>
  </si>
  <si>
    <t>O</t>
  </si>
  <si>
    <t>5 year</t>
  </si>
  <si>
    <t>5 year Avg</t>
  </si>
  <si>
    <t>*Crash data only looks within the area of study</t>
  </si>
  <si>
    <t>*Crashes within .5, 1, and 1.5 miles are not considered</t>
  </si>
  <si>
    <t>CMF</t>
  </si>
  <si>
    <t>Table A-1  from BCA Guidance</t>
  </si>
  <si>
    <t>KABCO Level</t>
  </si>
  <si>
    <t>Monetized Value ($2020)</t>
  </si>
  <si>
    <t>Montized crash</t>
  </si>
  <si>
    <t>100% red.</t>
  </si>
  <si>
    <t>Red. With CMF</t>
  </si>
  <si>
    <t>NPV of Safety Benefits</t>
  </si>
  <si>
    <t>Total NPV of Benefits</t>
  </si>
  <si>
    <t>reduced emissions</t>
  </si>
  <si>
    <t>Envronental Benefits</t>
  </si>
  <si>
    <t>Mobility</t>
  </si>
  <si>
    <t>Annual Mobility Benefit</t>
  </si>
  <si>
    <t>PV of Mobility Benefits</t>
  </si>
  <si>
    <t>Total PV of Benefits</t>
  </si>
  <si>
    <t>CTNO</t>
  </si>
  <si>
    <t>2575 meters</t>
  </si>
  <si>
    <t>Decreased Auto Use</t>
  </si>
  <si>
    <t>PV of Decreased Auto Use</t>
  </si>
  <si>
    <t>Present Value</t>
  </si>
  <si>
    <t>Health</t>
  </si>
  <si>
    <t>PV of Health</t>
  </si>
  <si>
    <t>PV of Capital Costs</t>
  </si>
  <si>
    <t>PV of Maintance</t>
  </si>
  <si>
    <t>*$13.77 using BLS inflator for $10 dollars in March 2004 to March 2020</t>
  </si>
  <si>
    <t>Total Budget</t>
  </si>
  <si>
    <t>Stage</t>
  </si>
  <si>
    <t>Project</t>
  </si>
  <si>
    <t>Water</t>
  </si>
  <si>
    <t>Sanitary</t>
  </si>
  <si>
    <t>Road Reconstruction</t>
  </si>
  <si>
    <t>Road Resurface</t>
  </si>
  <si>
    <t>Streetscape</t>
  </si>
  <si>
    <t>Other</t>
  </si>
  <si>
    <r>
      <rPr>
        <b/>
        <sz val="11"/>
        <color theme="1"/>
        <rFont val="Calibri"/>
        <family val="2"/>
        <scheme val="minor"/>
      </rPr>
      <t>Stage One</t>
    </r>
    <r>
      <rPr>
        <sz val="11"/>
        <color theme="1"/>
        <rFont val="Calibri"/>
        <family val="2"/>
        <scheme val="minor"/>
      </rPr>
      <t xml:space="preserve"> (2025-2027)</t>
    </r>
  </si>
  <si>
    <t>Jefferson</t>
  </si>
  <si>
    <t>Dorr Street Multi-Use Path</t>
  </si>
  <si>
    <t>Dorr Street Planters</t>
  </si>
  <si>
    <t>13th</t>
  </si>
  <si>
    <t>17th</t>
  </si>
  <si>
    <t>19th</t>
  </si>
  <si>
    <r>
      <rPr>
        <b/>
        <sz val="11"/>
        <color theme="1"/>
        <rFont val="Calibri"/>
        <family val="2"/>
        <scheme val="minor"/>
      </rPr>
      <t>Stage Two</t>
    </r>
    <r>
      <rPr>
        <sz val="11"/>
        <color theme="1"/>
        <rFont val="Calibri"/>
        <family val="2"/>
        <scheme val="minor"/>
      </rPr>
      <t xml:space="preserve"> (2026-2028)</t>
    </r>
  </si>
  <si>
    <t>Adams</t>
  </si>
  <si>
    <t>16th</t>
  </si>
  <si>
    <t>18th</t>
  </si>
  <si>
    <r>
      <rPr>
        <b/>
        <sz val="11"/>
        <color theme="1"/>
        <rFont val="Calibri"/>
        <family val="2"/>
        <scheme val="minor"/>
      </rPr>
      <t>Stage Three</t>
    </r>
    <r>
      <rPr>
        <sz val="11"/>
        <color theme="1"/>
        <rFont val="Calibri"/>
        <family val="2"/>
        <scheme val="minor"/>
      </rPr>
      <t xml:space="preserve"> (2027-2029)</t>
    </r>
  </si>
  <si>
    <t>Bus Stop Shelters</t>
  </si>
  <si>
    <t>Bike Shelters</t>
  </si>
  <si>
    <t>14th</t>
  </si>
  <si>
    <t>15th</t>
  </si>
  <si>
    <t>21st</t>
  </si>
  <si>
    <r>
      <rPr>
        <b/>
        <sz val="11"/>
        <color theme="1"/>
        <rFont val="Calibri"/>
        <family val="2"/>
        <scheme val="minor"/>
      </rPr>
      <t>Stage Four</t>
    </r>
    <r>
      <rPr>
        <sz val="11"/>
        <color theme="1"/>
        <rFont val="Calibri"/>
        <family val="2"/>
        <scheme val="minor"/>
      </rPr>
      <t xml:space="preserve"> (2028-2030)</t>
    </r>
  </si>
  <si>
    <t>20th</t>
  </si>
  <si>
    <t>Madison</t>
  </si>
  <si>
    <t>TOTAL</t>
  </si>
  <si>
    <t>Nominal Tree Benefits</t>
  </si>
  <si>
    <t>Bike Lane</t>
  </si>
  <si>
    <t>Parking Kiosks</t>
  </si>
  <si>
    <t>Taps / Connections (10%)</t>
  </si>
  <si>
    <t>Inflation (15%)</t>
  </si>
  <si>
    <t>Contingency (10%)</t>
  </si>
  <si>
    <t>Design (15%)</t>
  </si>
  <si>
    <t>Estimated Affect Trips</t>
  </si>
  <si>
    <t>Bus Route</t>
  </si>
  <si>
    <t># of bus stops</t>
  </si>
  <si>
    <t># of stops</t>
  </si>
  <si>
    <t>Estimated Affect
 Trips (Annually)</t>
  </si>
  <si>
    <t>Annual Benefits</t>
  </si>
  <si>
    <t>PV of Benefits</t>
  </si>
  <si>
    <t>CO2 (kg)</t>
  </si>
  <si>
    <t>PM2.5 (kg)</t>
  </si>
  <si>
    <t>CO2 (Tons)</t>
  </si>
  <si>
    <t>PM2.5 Tons</t>
  </si>
  <si>
    <t>Nox Tons</t>
  </si>
  <si>
    <t>Tons</t>
  </si>
  <si>
    <t>Benefits</t>
  </si>
  <si>
    <t>PV of CO2, PM2.5, Nox</t>
  </si>
  <si>
    <t>Annual Benefit (Electricity/Fuel Saved, Avoided Runoff)</t>
  </si>
  <si>
    <t>Total (20 years)</t>
  </si>
  <si>
    <t>Avg Annual Benefit</t>
  </si>
  <si>
    <t>Total PV of Trees</t>
  </si>
  <si>
    <t>AVG Annual Benefit</t>
  </si>
  <si>
    <t>Emissions Reduction</t>
  </si>
  <si>
    <t>Total Environmental Benefit (Trees+ Emissions)</t>
  </si>
  <si>
    <t>Annual Benefit</t>
  </si>
  <si>
    <t>PM2.5/Nox Discount</t>
  </si>
  <si>
    <t>Benefit Cost Analysis</t>
  </si>
  <si>
    <t>NPV</t>
  </si>
  <si>
    <t>Ratio</t>
  </si>
  <si>
    <t>Annual Benefits Calculations</t>
  </si>
  <si>
    <t>Nominal Value</t>
  </si>
  <si>
    <t>PV of Other Tree Benefits</t>
  </si>
  <si>
    <t>Dominent Common Residuals</t>
  </si>
  <si>
    <t>Median</t>
  </si>
  <si>
    <t>Lighting</t>
  </si>
  <si>
    <t>Left Lane</t>
  </si>
  <si>
    <t>Wider Shoulder(Bumpout)</t>
  </si>
  <si>
    <t>Time Savings</t>
  </si>
  <si>
    <t>Sensitivity Analysis</t>
  </si>
  <si>
    <t>Demand</t>
  </si>
  <si>
    <t>Low Estimate</t>
  </si>
  <si>
    <t>Mid Estimate</t>
  </si>
  <si>
    <t>High Estimate</t>
  </si>
  <si>
    <t>Existing Commuters</t>
  </si>
  <si>
    <t>New Commuters</t>
  </si>
  <si>
    <t>Safety</t>
  </si>
  <si>
    <t>Time Saved</t>
  </si>
  <si>
    <r>
      <t xml:space="preserve">As described in Appendix B, there are three possible scenarios for demand.  Below are the estimates provided under each scenario.  Using these forecasts and the methods detailed in Appendix B, calculate annual recreation benefits by replacing cell </t>
    </r>
    <r>
      <rPr>
        <b/>
        <sz val="12"/>
        <color theme="1"/>
        <rFont val="Calibri"/>
        <family val="2"/>
        <scheme val="minor"/>
      </rPr>
      <t>C7</t>
    </r>
    <r>
      <rPr>
        <sz val="12"/>
        <color theme="1"/>
        <rFont val="Calibri"/>
        <family val="2"/>
        <scheme val="minor"/>
      </rPr>
      <t xml:space="preserve"> and </t>
    </r>
    <r>
      <rPr>
        <b/>
        <sz val="12"/>
        <color theme="1"/>
        <rFont val="Calibri"/>
        <family val="2"/>
        <scheme val="minor"/>
      </rPr>
      <t>C8</t>
    </r>
    <r>
      <rPr>
        <sz val="12"/>
        <color theme="1"/>
        <rFont val="Calibri"/>
        <family val="2"/>
        <scheme val="minor"/>
      </rPr>
      <t xml:space="preserve"> of the </t>
    </r>
    <r>
      <rPr>
        <b/>
        <sz val="12"/>
        <color theme="1"/>
        <rFont val="Calibri"/>
        <family val="2"/>
        <scheme val="minor"/>
      </rPr>
      <t>Recreation</t>
    </r>
    <r>
      <rPr>
        <sz val="12"/>
        <color theme="1"/>
        <rFont val="Calibri"/>
        <family val="2"/>
        <scheme val="minor"/>
      </rPr>
      <t xml:space="preserve"> worksheet with high estimates. This will update </t>
    </r>
    <r>
      <rPr>
        <b/>
        <sz val="12"/>
        <color theme="1"/>
        <rFont val="Calibri"/>
        <family val="2"/>
        <scheme val="minor"/>
      </rPr>
      <t>Annual Benefits</t>
    </r>
    <r>
      <rPr>
        <sz val="12"/>
        <color theme="1"/>
        <rFont val="Calibri"/>
        <family val="2"/>
        <scheme val="minor"/>
      </rPr>
      <t xml:space="preserve"> in this section.  Likewise, to recalculate Pedestrian Benefits for the low scenerio, simply change </t>
    </r>
    <r>
      <rPr>
        <b/>
        <sz val="12"/>
        <color theme="1"/>
        <rFont val="Calibri"/>
        <family val="2"/>
        <scheme val="minor"/>
      </rPr>
      <t>A24</t>
    </r>
    <r>
      <rPr>
        <sz val="12"/>
        <color theme="1"/>
        <rFont val="Calibri"/>
        <family val="2"/>
        <scheme val="minor"/>
      </rPr>
      <t xml:space="preserve"> to equal </t>
    </r>
    <r>
      <rPr>
        <b/>
        <sz val="12"/>
        <color theme="1"/>
        <rFont val="Calibri"/>
        <family val="2"/>
        <scheme val="minor"/>
      </rPr>
      <t>A23</t>
    </r>
    <r>
      <rPr>
        <sz val="12"/>
        <color theme="1"/>
        <rFont val="Calibri"/>
        <family val="2"/>
        <scheme val="minor"/>
      </rPr>
      <t>.</t>
    </r>
  </si>
  <si>
    <r>
      <t xml:space="preserve">The parameters of concern in this section are the CMF used (or projected decrease in accidents). To change the CMF to the revised value, replace Cell </t>
    </r>
    <r>
      <rPr>
        <b/>
        <sz val="12"/>
        <color theme="1"/>
        <rFont val="Calibri"/>
        <family val="2"/>
        <scheme val="minor"/>
      </rPr>
      <t>G14</t>
    </r>
    <r>
      <rPr>
        <sz val="12"/>
        <color theme="1"/>
        <rFont val="Calibri"/>
        <family val="2"/>
        <scheme val="minor"/>
      </rPr>
      <t xml:space="preserve"> in the </t>
    </r>
    <r>
      <rPr>
        <b/>
        <sz val="12"/>
        <color theme="1"/>
        <rFont val="Calibri"/>
        <family val="2"/>
        <scheme val="minor"/>
      </rPr>
      <t>Safety Section</t>
    </r>
    <r>
      <rPr>
        <sz val="12"/>
        <color theme="1"/>
        <rFont val="Calibri"/>
        <family val="2"/>
        <scheme val="minor"/>
      </rPr>
      <t xml:space="preserve"> of this analysis.</t>
    </r>
  </si>
  <si>
    <t>Costs</t>
  </si>
  <si>
    <r>
      <t xml:space="preserve">In this section, we are concerned with the Value of Time Saved. To estimate this, simply update Cell </t>
    </r>
    <r>
      <rPr>
        <b/>
        <sz val="11"/>
        <color theme="1"/>
        <rFont val="Calibri"/>
        <family val="2"/>
        <scheme val="minor"/>
      </rPr>
      <t>A10</t>
    </r>
    <r>
      <rPr>
        <sz val="11"/>
        <color theme="1"/>
        <rFont val="Calibri"/>
        <family val="2"/>
        <scheme val="minor"/>
      </rPr>
      <t xml:space="preserve"> in </t>
    </r>
    <r>
      <rPr>
        <b/>
        <sz val="11"/>
        <color theme="1"/>
        <rFont val="Calibri"/>
        <family val="2"/>
        <scheme val="minor"/>
      </rPr>
      <t>Time Saving</t>
    </r>
    <r>
      <rPr>
        <sz val="11"/>
        <color theme="1"/>
        <rFont val="Calibri"/>
        <family val="2"/>
        <scheme val="minor"/>
      </rPr>
      <t xml:space="preserve"> to be multiplied by the revised value instead of .2.</t>
    </r>
  </si>
  <si>
    <r>
      <t xml:space="preserve">Construction costs over multi-year time span is an area of uncertainity. In this section, we consider an increase of </t>
    </r>
    <r>
      <rPr>
        <b/>
        <sz val="11"/>
        <color theme="1"/>
        <rFont val="Calibri"/>
        <family val="2"/>
        <scheme val="minor"/>
      </rPr>
      <t>10%</t>
    </r>
    <r>
      <rPr>
        <sz val="11"/>
        <color theme="1"/>
        <rFont val="Calibri"/>
        <family val="2"/>
        <scheme val="minor"/>
      </rPr>
      <t xml:space="preserve"> in the Costs section of this analysis. To update costs, simply multiply Cell</t>
    </r>
    <r>
      <rPr>
        <b/>
        <sz val="11"/>
        <color theme="1"/>
        <rFont val="Calibri"/>
        <family val="2"/>
        <scheme val="minor"/>
      </rPr>
      <t xml:space="preserve"> A2 </t>
    </r>
    <r>
      <rPr>
        <sz val="11"/>
        <color theme="1"/>
        <rFont val="Calibri"/>
        <family val="2"/>
        <scheme val="minor"/>
      </rPr>
      <t xml:space="preserve">by </t>
    </r>
    <r>
      <rPr>
        <b/>
        <sz val="11"/>
        <color theme="1"/>
        <rFont val="Calibri"/>
        <family val="2"/>
        <scheme val="minor"/>
      </rPr>
      <t xml:space="preserve">(1+.1) </t>
    </r>
    <r>
      <rPr>
        <sz val="11"/>
        <color theme="1"/>
        <rFont val="Calibri"/>
        <family val="2"/>
        <scheme val="minor"/>
      </rPr>
      <t>to get the revised value. Notice that</t>
    </r>
    <r>
      <rPr>
        <b/>
        <sz val="11"/>
        <color theme="1"/>
        <rFont val="Calibri"/>
        <family val="2"/>
        <scheme val="minor"/>
      </rPr>
      <t xml:space="preserve"> A3</t>
    </r>
    <r>
      <rPr>
        <sz val="11"/>
        <color theme="1"/>
        <rFont val="Calibri"/>
        <family val="2"/>
        <scheme val="minor"/>
      </rPr>
      <t xml:space="preserve"> also updates, but because we assumed maintenance is a function of costs, we deemed this approporate. </t>
    </r>
  </si>
  <si>
    <t>Discount Rates</t>
  </si>
  <si>
    <r>
      <t xml:space="preserve">All calculations that use the real discount rate in this analysis are referenced in the following cells: in </t>
    </r>
    <r>
      <rPr>
        <b/>
        <sz val="12"/>
        <color theme="1"/>
        <rFont val="Calibri"/>
        <family val="2"/>
        <scheme val="minor"/>
      </rPr>
      <t>Recreation</t>
    </r>
    <r>
      <rPr>
        <sz val="12"/>
        <color theme="1"/>
        <rFont val="Calibri"/>
        <family val="2"/>
        <scheme val="minor"/>
      </rPr>
      <t xml:space="preserve">, </t>
    </r>
    <r>
      <rPr>
        <b/>
        <sz val="12"/>
        <color theme="1"/>
        <rFont val="Calibri"/>
        <family val="2"/>
        <scheme val="minor"/>
      </rPr>
      <t>Mobility</t>
    </r>
    <r>
      <rPr>
        <sz val="12"/>
        <color theme="1"/>
        <rFont val="Calibri"/>
        <family val="2"/>
        <scheme val="minor"/>
      </rPr>
      <t xml:space="preserve">, </t>
    </r>
    <r>
      <rPr>
        <b/>
        <sz val="12"/>
        <color theme="1"/>
        <rFont val="Calibri"/>
        <family val="2"/>
        <scheme val="minor"/>
      </rPr>
      <t>Health</t>
    </r>
    <r>
      <rPr>
        <sz val="12"/>
        <color theme="1"/>
        <rFont val="Calibri"/>
        <family val="2"/>
        <scheme val="minor"/>
      </rPr>
      <t xml:space="preserve">, and </t>
    </r>
    <r>
      <rPr>
        <b/>
        <sz val="12"/>
        <color theme="1"/>
        <rFont val="Calibri"/>
        <family val="2"/>
        <scheme val="minor"/>
      </rPr>
      <t>Time Savings</t>
    </r>
    <r>
      <rPr>
        <sz val="12"/>
        <color theme="1"/>
        <rFont val="Calibri"/>
        <family val="2"/>
        <scheme val="minor"/>
      </rPr>
      <t xml:space="preserve">, </t>
    </r>
    <r>
      <rPr>
        <b/>
        <sz val="12"/>
        <color theme="1"/>
        <rFont val="Calibri"/>
        <family val="2"/>
        <scheme val="minor"/>
      </rPr>
      <t>B14;</t>
    </r>
    <r>
      <rPr>
        <sz val="12"/>
        <color theme="1"/>
        <rFont val="Calibri"/>
        <family val="2"/>
        <scheme val="minor"/>
      </rPr>
      <t xml:space="preserve"> in </t>
    </r>
    <r>
      <rPr>
        <b/>
        <sz val="12"/>
        <color theme="1"/>
        <rFont val="Calibri"/>
        <family val="2"/>
        <scheme val="minor"/>
      </rPr>
      <t xml:space="preserve">Costs </t>
    </r>
    <r>
      <rPr>
        <sz val="12"/>
        <color theme="1"/>
        <rFont val="Calibri"/>
        <family val="2"/>
        <scheme val="minor"/>
      </rPr>
      <t xml:space="preserve">and </t>
    </r>
    <r>
      <rPr>
        <b/>
        <sz val="12"/>
        <color theme="1"/>
        <rFont val="Calibri"/>
        <family val="2"/>
        <scheme val="minor"/>
      </rPr>
      <t>Deceased Auto Use</t>
    </r>
    <r>
      <rPr>
        <sz val="12"/>
        <color theme="1"/>
        <rFont val="Calibri"/>
        <family val="2"/>
        <scheme val="minor"/>
      </rPr>
      <t xml:space="preserve">,  </t>
    </r>
    <r>
      <rPr>
        <b/>
        <sz val="12"/>
        <color theme="1"/>
        <rFont val="Calibri"/>
        <family val="2"/>
        <scheme val="minor"/>
      </rPr>
      <t>B13;</t>
    </r>
    <r>
      <rPr>
        <sz val="12"/>
        <color theme="1"/>
        <rFont val="Calibri"/>
        <family val="2"/>
        <scheme val="minor"/>
      </rPr>
      <t xml:space="preserve"> in </t>
    </r>
    <r>
      <rPr>
        <b/>
        <sz val="12"/>
        <color theme="1"/>
        <rFont val="Calibri"/>
        <family val="2"/>
        <scheme val="minor"/>
      </rPr>
      <t>Environment</t>
    </r>
    <r>
      <rPr>
        <sz val="12"/>
        <color theme="1"/>
        <rFont val="Calibri"/>
        <family val="2"/>
        <scheme val="minor"/>
      </rPr>
      <t xml:space="preserve">, </t>
    </r>
    <r>
      <rPr>
        <b/>
        <sz val="12"/>
        <color theme="1"/>
        <rFont val="Calibri"/>
        <family val="2"/>
        <scheme val="minor"/>
      </rPr>
      <t>C10</t>
    </r>
    <r>
      <rPr>
        <sz val="12"/>
        <color theme="1"/>
        <rFont val="Calibri"/>
        <family val="2"/>
        <scheme val="minor"/>
      </rPr>
      <t xml:space="preserve">, </t>
    </r>
    <r>
      <rPr>
        <b/>
        <sz val="12"/>
        <color theme="1"/>
        <rFont val="Calibri"/>
        <family val="2"/>
        <scheme val="minor"/>
      </rPr>
      <t>B44</t>
    </r>
    <r>
      <rPr>
        <sz val="12"/>
        <color theme="1"/>
        <rFont val="Calibri"/>
        <family val="2"/>
        <scheme val="minor"/>
      </rPr>
      <t xml:space="preserve">, and </t>
    </r>
    <r>
      <rPr>
        <b/>
        <sz val="12"/>
        <color theme="1"/>
        <rFont val="Calibri"/>
        <family val="2"/>
        <scheme val="minor"/>
      </rPr>
      <t>B52;</t>
    </r>
    <r>
      <rPr>
        <sz val="12"/>
        <color theme="1"/>
        <rFont val="Calibri"/>
        <family val="2"/>
        <scheme val="minor"/>
      </rPr>
      <t xml:space="preserve"> and in </t>
    </r>
    <r>
      <rPr>
        <b/>
        <sz val="12"/>
        <color theme="1"/>
        <rFont val="Calibri"/>
        <family val="2"/>
        <scheme val="minor"/>
      </rPr>
      <t>safety</t>
    </r>
    <r>
      <rPr>
        <sz val="12"/>
        <color theme="1"/>
        <rFont val="Calibri"/>
        <family val="2"/>
        <scheme val="minor"/>
      </rPr>
      <t xml:space="preserve">, </t>
    </r>
    <r>
      <rPr>
        <b/>
        <sz val="12"/>
        <color theme="1"/>
        <rFont val="Calibri"/>
        <family val="2"/>
        <scheme val="minor"/>
      </rPr>
      <t>C26</t>
    </r>
    <r>
      <rPr>
        <sz val="12"/>
        <color theme="1"/>
        <rFont val="Calibri"/>
        <family val="2"/>
        <scheme val="minor"/>
      </rPr>
      <t>.  Changing the value in these cells to 5% or 9% will update all appropriate calculations.</t>
    </r>
  </si>
  <si>
    <t>*Data was provided by the Toledo Metropolitan Area Council of Governments</t>
  </si>
  <si>
    <t>Total Construction:</t>
  </si>
  <si>
    <t>Annual Maintenance: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</si>
</sst>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
    <numFmt numFmtId="165" formatCode="&quot;$&quot;#,##0.00"/>
    <numFmt numFmtId="166" formatCode="_(&quot;$&quot;* #,##0_);_(&quot;$&quot;* \(#,##0\);_(&quot;$&quot;* &quot;-&quot;??_);_(@_)"/>
    <numFmt numFmtId="167" formatCode="_(&quot;$&quot;* #,##0_);_(&quot;$&quot;* \(#,##0\);_(&quot;$&quot;* &quot;-&quot;?_);_(@_)"/>
  </numFmts>
  <fonts count="16" x14ac:knownFonts="1">
    <font>
      <sz val="11"/>
      <color theme="1"/>
      <name val="Calibri"/>
      <family val="2"/>
      <scheme val="minor"/>
    </font>
    <font>
      <sz val="11"/>
      <color theme="1"/>
      <name val="Calibri"/>
      <family val="2"/>
      <scheme val="minor"/>
    </font>
    <font>
      <b/>
      <sz val="16"/>
      <color theme="1"/>
      <name val="Calibri"/>
      <family val="2"/>
      <scheme val="minor"/>
    </font>
    <font>
      <sz val="14"/>
      <color theme="1"/>
      <name val="Calibri"/>
      <family val="2"/>
      <scheme val="minor"/>
    </font>
    <font>
      <b/>
      <sz val="14"/>
      <color theme="1"/>
      <name val="Calibri"/>
      <family val="2"/>
      <scheme val="minor"/>
    </font>
    <font>
      <b/>
      <sz val="18"/>
      <color theme="1"/>
      <name val="Calibri"/>
      <family val="2"/>
      <scheme val="minor"/>
    </font>
    <font>
      <sz val="12"/>
      <color theme="1"/>
      <name val="Calibri"/>
      <family val="2"/>
      <scheme val="minor"/>
    </font>
    <font>
      <b/>
      <sz val="11"/>
      <color theme="1"/>
      <name val="Calibri"/>
      <family val="2"/>
      <scheme val="minor"/>
    </font>
    <font>
      <b/>
      <sz val="11"/>
      <color theme="0"/>
      <name val="Calibri"/>
      <family val="2"/>
      <scheme val="minor"/>
    </font>
    <font>
      <b/>
      <sz val="15"/>
      <color theme="0"/>
      <name val="Calibri"/>
      <family val="2"/>
      <scheme val="minor"/>
    </font>
    <font>
      <i/>
      <sz val="11"/>
      <color theme="1"/>
      <name val="Calibri"/>
      <family val="2"/>
      <scheme val="minor"/>
    </font>
    <font>
      <i/>
      <sz val="8"/>
      <color theme="1"/>
      <name val="Calibri"/>
      <family val="2"/>
      <scheme val="minor"/>
    </font>
    <font>
      <b/>
      <sz val="22"/>
      <color theme="1"/>
      <name val="Calibri"/>
      <family val="2"/>
      <scheme val="minor"/>
    </font>
    <font>
      <sz val="18"/>
      <color theme="1"/>
      <name val="Calibri"/>
      <family val="2"/>
      <scheme val="minor"/>
    </font>
    <font>
      <b/>
      <sz val="14"/>
      <name val="Calibri"/>
      <family val="2"/>
      <scheme val="minor"/>
    </font>
    <font>
      <b/>
      <sz val="12"/>
      <color theme="1"/>
      <name val="Calibri"/>
      <family val="2"/>
      <scheme val="minor"/>
    </font>
  </fonts>
  <fills count="12">
    <fill>
      <patternFill patternType="none"/>
    </fill>
    <fill>
      <patternFill patternType="gray125"/>
    </fill>
    <fill>
      <patternFill patternType="solid">
        <fgColor theme="4" tint="0.79998168889431442"/>
        <bgColor indexed="64"/>
      </patternFill>
    </fill>
    <fill>
      <patternFill patternType="solid">
        <fgColor theme="2"/>
        <bgColor indexed="64"/>
      </patternFill>
    </fill>
    <fill>
      <patternFill patternType="solid">
        <fgColor theme="3" tint="-0.249977111117893"/>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bgColor indexed="64"/>
      </patternFill>
    </fill>
    <fill>
      <patternFill patternType="solid">
        <fgColor theme="4" tint="0.59999389629810485"/>
        <bgColor indexed="64"/>
      </patternFill>
    </fill>
  </fills>
  <borders count="70">
    <border>
      <left/>
      <right/>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indexed="64"/>
      </left>
      <right style="thin">
        <color auto="1"/>
      </right>
      <top style="thin">
        <color auto="1"/>
      </top>
      <bottom style="thick">
        <color indexed="64"/>
      </bottom>
      <diagonal/>
    </border>
    <border>
      <left style="thin">
        <color indexed="64"/>
      </left>
      <right style="thin">
        <color indexed="64"/>
      </right>
      <top style="thin">
        <color indexed="64"/>
      </top>
      <bottom style="thick">
        <color indexed="64"/>
      </bottom>
      <diagonal/>
    </border>
    <border>
      <left style="thin">
        <color auto="1"/>
      </left>
      <right style="thick">
        <color indexed="64"/>
      </right>
      <top style="thin">
        <color auto="1"/>
      </top>
      <bottom style="thick">
        <color indexed="64"/>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right style="thin">
        <color indexed="64"/>
      </right>
      <top style="thin">
        <color auto="1"/>
      </top>
      <bottom style="thin">
        <color auto="1"/>
      </bottom>
      <diagonal/>
    </border>
    <border>
      <left style="thin">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top style="medium">
        <color auto="1"/>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auto="1"/>
      </top>
      <bottom style="thin">
        <color auto="1"/>
      </bottom>
      <diagonal/>
    </border>
    <border>
      <left style="thin">
        <color auto="1"/>
      </left>
      <right/>
      <top style="thin">
        <color auto="1"/>
      </top>
      <bottom style="thin">
        <color auto="1"/>
      </bottom>
      <diagonal/>
    </border>
    <border>
      <left/>
      <right/>
      <top/>
      <bottom style="thick">
        <color auto="1"/>
      </bottom>
      <diagonal/>
    </border>
    <border>
      <left style="thick">
        <color indexed="64"/>
      </left>
      <right/>
      <top style="thick">
        <color auto="1"/>
      </top>
      <bottom style="thin">
        <color indexed="64"/>
      </bottom>
      <diagonal/>
    </border>
    <border>
      <left/>
      <right style="thin">
        <color indexed="64"/>
      </right>
      <top style="thick">
        <color auto="1"/>
      </top>
      <bottom style="thin">
        <color auto="1"/>
      </bottom>
      <diagonal/>
    </border>
    <border>
      <left style="thin">
        <color indexed="64"/>
      </left>
      <right/>
      <top style="thick">
        <color auto="1"/>
      </top>
      <bottom style="thin">
        <color indexed="64"/>
      </bottom>
      <diagonal/>
    </border>
    <border>
      <left/>
      <right style="thick">
        <color indexed="64"/>
      </right>
      <top style="thick">
        <color auto="1"/>
      </top>
      <bottom style="thin">
        <color indexed="64"/>
      </bottom>
      <diagonal/>
    </border>
    <border>
      <left style="thick">
        <color auto="1"/>
      </left>
      <right/>
      <top style="thin">
        <color auto="1"/>
      </top>
      <bottom style="thick">
        <color auto="1"/>
      </bottom>
      <diagonal/>
    </border>
    <border>
      <left/>
      <right style="thin">
        <color indexed="64"/>
      </right>
      <top style="thin">
        <color auto="1"/>
      </top>
      <bottom style="thick">
        <color auto="1"/>
      </bottom>
      <diagonal/>
    </border>
    <border>
      <left style="thin">
        <color indexed="64"/>
      </left>
      <right/>
      <top style="thin">
        <color indexed="64"/>
      </top>
      <bottom style="thick">
        <color auto="1"/>
      </bottom>
      <diagonal/>
    </border>
    <border>
      <left/>
      <right style="thick">
        <color auto="1"/>
      </right>
      <top style="thin">
        <color indexed="64"/>
      </top>
      <bottom style="thick">
        <color auto="1"/>
      </bottom>
      <diagonal/>
    </border>
    <border>
      <left/>
      <right/>
      <top style="thick">
        <color auto="1"/>
      </top>
      <bottom style="thin">
        <color indexed="64"/>
      </bottom>
      <diagonal/>
    </border>
    <border>
      <left style="thick">
        <color auto="1"/>
      </left>
      <right/>
      <top style="thin">
        <color auto="1"/>
      </top>
      <bottom style="thin">
        <color indexed="64"/>
      </bottom>
      <diagonal/>
    </border>
    <border>
      <left/>
      <right/>
      <top style="thin">
        <color auto="1"/>
      </top>
      <bottom style="thin">
        <color auto="1"/>
      </bottom>
      <diagonal/>
    </border>
    <border>
      <left/>
      <right style="thick">
        <color indexed="64"/>
      </right>
      <top style="thin">
        <color indexed="64"/>
      </top>
      <bottom style="thin">
        <color indexed="64"/>
      </bottom>
      <diagonal/>
    </border>
    <border>
      <left/>
      <right/>
      <top style="thin">
        <color indexed="64"/>
      </top>
      <bottom style="thick">
        <color auto="1"/>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ouble">
        <color indexed="64"/>
      </bottom>
      <diagonal/>
    </border>
    <border>
      <left style="medium">
        <color indexed="64"/>
      </left>
      <right/>
      <top style="thin">
        <color indexed="64"/>
      </top>
      <bottom style="thin">
        <color indexed="64"/>
      </bottom>
      <diagonal/>
    </border>
    <border>
      <left/>
      <right/>
      <top style="thin">
        <color theme="4"/>
      </top>
      <bottom style="double">
        <color theme="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style="thin">
        <color indexed="64"/>
      </right>
      <top/>
      <bottom/>
      <diagonal/>
    </border>
  </borders>
  <cellStyleXfs count="5">
    <xf numFmtId="0" fontId="0"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 fillId="0" borderId="64" applyNumberFormat="0" applyFill="0" applyAlignment="0" applyProtection="0"/>
  </cellStyleXfs>
  <cellXfs count="268">
    <xf numFmtId="0" fontId="0" fillId="0" borderId="0" xfId="0"/>
    <xf numFmtId="3" fontId="0" fillId="0" borderId="0" xfId="0" applyNumberFormat="1"/>
    <xf numFmtId="44" fontId="0" fillId="0" borderId="0" xfId="1" applyFont="1"/>
    <xf numFmtId="0" fontId="5" fillId="0" borderId="0" xfId="0" applyFont="1"/>
    <xf numFmtId="0" fontId="6" fillId="0" borderId="0" xfId="0" applyFont="1"/>
    <xf numFmtId="0" fontId="4" fillId="2" borderId="4" xfId="0" applyFont="1" applyFill="1" applyBorder="1" applyAlignment="1">
      <alignment horizontal="center"/>
    </xf>
    <xf numFmtId="0" fontId="4" fillId="2" borderId="6" xfId="0" applyFont="1" applyFill="1" applyBorder="1" applyAlignment="1">
      <alignment horizontal="center"/>
    </xf>
    <xf numFmtId="0" fontId="4" fillId="0" borderId="13" xfId="0" applyFont="1" applyBorder="1" applyAlignment="1">
      <alignment horizontal="center"/>
    </xf>
    <xf numFmtId="0" fontId="4" fillId="0" borderId="14" xfId="0" applyFont="1" applyBorder="1" applyAlignment="1">
      <alignment horizontal="center"/>
    </xf>
    <xf numFmtId="164" fontId="3" fillId="3" borderId="10" xfId="0" applyNumberFormat="1" applyFont="1" applyFill="1" applyBorder="1" applyAlignment="1">
      <alignment horizontal="center"/>
    </xf>
    <xf numFmtId="9" fontId="3" fillId="3" borderId="12" xfId="0" applyNumberFormat="1" applyFont="1" applyFill="1" applyBorder="1" applyAlignment="1">
      <alignment horizontal="center"/>
    </xf>
    <xf numFmtId="164" fontId="3" fillId="0" borderId="15" xfId="0" applyNumberFormat="1" applyFont="1" applyBorder="1"/>
    <xf numFmtId="164" fontId="3" fillId="0" borderId="8" xfId="0" applyNumberFormat="1" applyFont="1" applyBorder="1"/>
    <xf numFmtId="9" fontId="0" fillId="0" borderId="0" xfId="0" applyNumberFormat="1"/>
    <xf numFmtId="0" fontId="0" fillId="0" borderId="0" xfId="0" applyAlignment="1"/>
    <xf numFmtId="2" fontId="0" fillId="0" borderId="0" xfId="0" applyNumberFormat="1"/>
    <xf numFmtId="0" fontId="3" fillId="0" borderId="8" xfId="0" applyFont="1" applyBorder="1" applyAlignment="1">
      <alignment horizontal="center"/>
    </xf>
    <xf numFmtId="0" fontId="0" fillId="0" borderId="0" xfId="0" applyAlignment="1">
      <alignment horizontal="center" wrapText="1"/>
    </xf>
    <xf numFmtId="0" fontId="3" fillId="0" borderId="26" xfId="0" applyFont="1" applyBorder="1" applyAlignment="1">
      <alignment horizontal="center"/>
    </xf>
    <xf numFmtId="2" fontId="3" fillId="0" borderId="16" xfId="0" applyNumberFormat="1" applyFont="1" applyBorder="1" applyAlignment="1">
      <alignment horizontal="center"/>
    </xf>
    <xf numFmtId="0" fontId="7" fillId="0" borderId="8" xfId="0" applyFont="1" applyBorder="1" applyAlignment="1">
      <alignment horizontal="center"/>
    </xf>
    <xf numFmtId="0" fontId="7" fillId="0" borderId="16" xfId="0" applyFont="1" applyBorder="1" applyAlignment="1">
      <alignment horizontal="center"/>
    </xf>
    <xf numFmtId="0" fontId="3" fillId="0" borderId="0" xfId="0" applyFont="1" applyFill="1" applyBorder="1" applyAlignment="1">
      <alignment horizontal="center"/>
    </xf>
    <xf numFmtId="0" fontId="0" fillId="0" borderId="0" xfId="0" applyFont="1" applyFill="1" applyBorder="1" applyAlignment="1">
      <alignment horizontal="center"/>
    </xf>
    <xf numFmtId="3" fontId="3" fillId="0" borderId="0" xfId="0" applyNumberFormat="1" applyFont="1" applyBorder="1" applyAlignment="1">
      <alignment horizontal="center"/>
    </xf>
    <xf numFmtId="0" fontId="3" fillId="0" borderId="0" xfId="0" applyFont="1" applyBorder="1" applyAlignment="1">
      <alignment horizontal="center"/>
    </xf>
    <xf numFmtId="164" fontId="3" fillId="0" borderId="0" xfId="0" applyNumberFormat="1" applyFont="1" applyBorder="1"/>
    <xf numFmtId="44" fontId="0" fillId="0" borderId="0" xfId="0" applyNumberFormat="1"/>
    <xf numFmtId="0" fontId="8" fillId="4" borderId="46" xfId="0" applyFont="1" applyFill="1" applyBorder="1" applyAlignment="1">
      <alignment horizontal="center" vertical="center"/>
    </xf>
    <xf numFmtId="0" fontId="8" fillId="4" borderId="47" xfId="0" applyFont="1" applyFill="1" applyBorder="1" applyAlignment="1">
      <alignment horizontal="center" vertical="center"/>
    </xf>
    <xf numFmtId="166" fontId="8" fillId="4" borderId="47" xfId="1" applyNumberFormat="1" applyFont="1" applyFill="1" applyBorder="1" applyAlignment="1">
      <alignment horizontal="center" vertical="center"/>
    </xf>
    <xf numFmtId="44" fontId="8" fillId="4" borderId="48" xfId="1" applyFont="1" applyFill="1" applyBorder="1" applyAlignment="1">
      <alignment horizontal="center" vertical="center"/>
    </xf>
    <xf numFmtId="0" fontId="0" fillId="0" borderId="16" xfId="0" applyBorder="1" applyAlignment="1">
      <alignment horizontal="center"/>
    </xf>
    <xf numFmtId="166" fontId="0" fillId="0" borderId="16" xfId="1" applyNumberFormat="1" applyFont="1" applyBorder="1"/>
    <xf numFmtId="166" fontId="0" fillId="0" borderId="50" xfId="0" applyNumberFormat="1" applyBorder="1"/>
    <xf numFmtId="0" fontId="0" fillId="0" borderId="52" xfId="0" applyBorder="1" applyAlignment="1">
      <alignment horizontal="center"/>
    </xf>
    <xf numFmtId="166" fontId="0" fillId="0" borderId="52" xfId="1" applyNumberFormat="1" applyFont="1" applyBorder="1"/>
    <xf numFmtId="166" fontId="0" fillId="0" borderId="52" xfId="1" applyNumberFormat="1" applyFont="1" applyFill="1" applyBorder="1"/>
    <xf numFmtId="166" fontId="0" fillId="0" borderId="53" xfId="0" applyNumberFormat="1" applyBorder="1"/>
    <xf numFmtId="0" fontId="0" fillId="0" borderId="47" xfId="0" applyBorder="1" applyAlignment="1">
      <alignment horizontal="center"/>
    </xf>
    <xf numFmtId="166" fontId="0" fillId="0" borderId="47" xfId="1" applyNumberFormat="1" applyFont="1" applyBorder="1"/>
    <xf numFmtId="166" fontId="0" fillId="0" borderId="47" xfId="1" applyNumberFormat="1" applyFont="1" applyFill="1" applyBorder="1"/>
    <xf numFmtId="166" fontId="0" fillId="0" borderId="48" xfId="0" applyNumberFormat="1" applyBorder="1"/>
    <xf numFmtId="0" fontId="0" fillId="0" borderId="8" xfId="0" applyBorder="1" applyAlignment="1">
      <alignment horizontal="center"/>
    </xf>
    <xf numFmtId="166" fontId="0" fillId="0" borderId="8" xfId="1" applyNumberFormat="1" applyFont="1" applyBorder="1"/>
    <xf numFmtId="166" fontId="0" fillId="0" borderId="8" xfId="1" applyNumberFormat="1" applyFont="1" applyFill="1" applyBorder="1"/>
    <xf numFmtId="166" fontId="0" fillId="0" borderId="54" xfId="0" applyNumberFormat="1" applyBorder="1"/>
    <xf numFmtId="0" fontId="0" fillId="0" borderId="56" xfId="0" applyBorder="1" applyAlignment="1">
      <alignment horizontal="center"/>
    </xf>
    <xf numFmtId="166" fontId="0" fillId="0" borderId="56" xfId="1" applyNumberFormat="1" applyFont="1" applyFill="1" applyBorder="1"/>
    <xf numFmtId="166" fontId="0" fillId="0" borderId="57" xfId="0" applyNumberFormat="1" applyBorder="1" applyAlignment="1">
      <alignment horizontal="center" vertical="center"/>
    </xf>
    <xf numFmtId="166" fontId="0" fillId="0" borderId="56" xfId="1" applyNumberFormat="1" applyFont="1" applyBorder="1"/>
    <xf numFmtId="166" fontId="0" fillId="0" borderId="57" xfId="0" applyNumberFormat="1" applyBorder="1"/>
    <xf numFmtId="166" fontId="0" fillId="0" borderId="50" xfId="0" applyNumberFormat="1" applyBorder="1" applyAlignment="1">
      <alignment horizontal="center" vertical="center"/>
    </xf>
    <xf numFmtId="166" fontId="0" fillId="0" borderId="54" xfId="0" applyNumberFormat="1" applyBorder="1" applyAlignment="1">
      <alignment horizontal="center" vertical="center"/>
    </xf>
    <xf numFmtId="0" fontId="0" fillId="0" borderId="16" xfId="0" applyBorder="1" applyAlignment="1">
      <alignment horizontal="center" vertical="center"/>
    </xf>
    <xf numFmtId="166" fontId="0" fillId="0" borderId="16" xfId="1" applyNumberFormat="1" applyFont="1" applyBorder="1" applyAlignment="1">
      <alignment vertical="center"/>
    </xf>
    <xf numFmtId="166" fontId="0" fillId="0" borderId="16" xfId="1" applyNumberFormat="1" applyFont="1" applyFill="1" applyBorder="1" applyAlignment="1">
      <alignment vertical="center"/>
    </xf>
    <xf numFmtId="166" fontId="0" fillId="0" borderId="50" xfId="0" applyNumberFormat="1" applyBorder="1" applyAlignment="1">
      <alignment vertical="center"/>
    </xf>
    <xf numFmtId="0" fontId="0" fillId="0" borderId="56" xfId="0" applyBorder="1" applyAlignment="1">
      <alignment horizontal="center" vertical="center"/>
    </xf>
    <xf numFmtId="166" fontId="0" fillId="0" borderId="56" xfId="1" applyNumberFormat="1" applyFont="1" applyBorder="1" applyAlignment="1">
      <alignment vertical="center"/>
    </xf>
    <xf numFmtId="166" fontId="0" fillId="0" borderId="26" xfId="1" applyNumberFormat="1" applyFont="1" applyBorder="1" applyAlignment="1">
      <alignment vertical="center"/>
    </xf>
    <xf numFmtId="166" fontId="11" fillId="0" borderId="26" xfId="1" applyNumberFormat="1" applyFont="1" applyBorder="1" applyAlignment="1">
      <alignment horizontal="center" vertical="center" wrapText="1"/>
    </xf>
    <xf numFmtId="166" fontId="0" fillId="0" borderId="59" xfId="0" applyNumberFormat="1" applyBorder="1" applyAlignment="1">
      <alignment horizontal="center" vertical="center"/>
    </xf>
    <xf numFmtId="166" fontId="0" fillId="0" borderId="57" xfId="1" applyNumberFormat="1" applyFont="1" applyBorder="1" applyAlignment="1">
      <alignment vertical="center"/>
    </xf>
    <xf numFmtId="166" fontId="7" fillId="0" borderId="62" xfId="1" applyNumberFormat="1" applyFont="1" applyBorder="1" applyAlignment="1">
      <alignment horizontal="center" vertical="center"/>
    </xf>
    <xf numFmtId="166" fontId="0" fillId="0" borderId="16" xfId="1" applyNumberFormat="1" applyFont="1" applyFill="1" applyBorder="1"/>
    <xf numFmtId="166" fontId="0" fillId="0" borderId="56" xfId="1" applyNumberFormat="1" applyFont="1" applyFill="1" applyBorder="1" applyAlignment="1">
      <alignment vertical="center"/>
    </xf>
    <xf numFmtId="166" fontId="0" fillId="0" borderId="8" xfId="1" applyNumberFormat="1" applyFont="1" applyBorder="1" applyAlignment="1">
      <alignment vertical="center"/>
    </xf>
    <xf numFmtId="167" fontId="0" fillId="0" borderId="8" xfId="1" applyNumberFormat="1" applyFont="1" applyBorder="1" applyAlignment="1">
      <alignment vertical="center"/>
    </xf>
    <xf numFmtId="0" fontId="0" fillId="0" borderId="0" xfId="0" applyAlignment="1">
      <alignment wrapText="1"/>
    </xf>
    <xf numFmtId="43" fontId="0" fillId="0" borderId="0" xfId="2" applyFont="1"/>
    <xf numFmtId="0" fontId="12" fillId="0" borderId="0" xfId="0" applyFont="1" applyAlignment="1">
      <alignment vertical="center"/>
    </xf>
    <xf numFmtId="0" fontId="5" fillId="0" borderId="0" xfId="0" applyFont="1" applyAlignment="1">
      <alignment horizontal="right" vertical="center"/>
    </xf>
    <xf numFmtId="9" fontId="5" fillId="0" borderId="0" xfId="3" applyFont="1" applyBorder="1" applyAlignment="1">
      <alignment horizontal="center" vertical="center"/>
    </xf>
    <xf numFmtId="0" fontId="5" fillId="2" borderId="14" xfId="0" applyFont="1" applyFill="1" applyBorder="1" applyAlignment="1">
      <alignment horizontal="center"/>
    </xf>
    <xf numFmtId="164" fontId="13" fillId="0" borderId="56" xfId="0" applyNumberFormat="1" applyFont="1" applyBorder="1" applyAlignment="1">
      <alignment horizontal="center"/>
    </xf>
    <xf numFmtId="2" fontId="13" fillId="0" borderId="57" xfId="0" applyNumberFormat="1" applyFont="1" applyBorder="1" applyAlignment="1">
      <alignment horizontal="center"/>
    </xf>
    <xf numFmtId="0" fontId="3" fillId="0" borderId="0" xfId="0" applyFont="1"/>
    <xf numFmtId="0" fontId="4" fillId="2" borderId="8" xfId="0" applyFont="1" applyFill="1" applyBorder="1" applyAlignment="1">
      <alignment horizontal="center"/>
    </xf>
    <xf numFmtId="0" fontId="3" fillId="0" borderId="8" xfId="0" applyFont="1" applyBorder="1"/>
    <xf numFmtId="3" fontId="3" fillId="0" borderId="8" xfId="0" applyNumberFormat="1" applyFont="1" applyBorder="1"/>
    <xf numFmtId="44" fontId="3" fillId="0" borderId="8" xfId="1" applyFont="1" applyBorder="1"/>
    <xf numFmtId="44" fontId="3" fillId="0" borderId="0" xfId="1" applyFont="1" applyBorder="1" applyAlignment="1">
      <alignment horizontal="center" vertical="center"/>
    </xf>
    <xf numFmtId="9" fontId="3" fillId="0" borderId="0" xfId="0" applyNumberFormat="1" applyFont="1" applyBorder="1" applyAlignment="1">
      <alignment horizontal="center" vertical="center"/>
    </xf>
    <xf numFmtId="0" fontId="3" fillId="0" borderId="0" xfId="0" applyFont="1" applyBorder="1"/>
    <xf numFmtId="44" fontId="3" fillId="0" borderId="0" xfId="1" applyFont="1" applyBorder="1"/>
    <xf numFmtId="44" fontId="3" fillId="0" borderId="8" xfId="0" applyNumberFormat="1" applyFont="1" applyBorder="1"/>
    <xf numFmtId="0" fontId="3" fillId="2" borderId="8" xfId="0" applyFont="1" applyFill="1" applyBorder="1"/>
    <xf numFmtId="0" fontId="4" fillId="2" borderId="8" xfId="0" applyFont="1" applyFill="1" applyBorder="1"/>
    <xf numFmtId="0" fontId="3" fillId="0" borderId="15" xfId="0" applyFont="1" applyBorder="1"/>
    <xf numFmtId="0" fontId="3" fillId="2" borderId="65" xfId="0" applyFont="1" applyFill="1" applyBorder="1"/>
    <xf numFmtId="0" fontId="3" fillId="2" borderId="50" xfId="0" applyFont="1" applyFill="1" applyBorder="1"/>
    <xf numFmtId="0" fontId="4" fillId="2" borderId="14" xfId="0" applyFont="1" applyFill="1" applyBorder="1"/>
    <xf numFmtId="44" fontId="3" fillId="0" borderId="26" xfId="1" applyFont="1" applyBorder="1" applyAlignment="1">
      <alignment horizontal="center" vertical="center"/>
    </xf>
    <xf numFmtId="44" fontId="3" fillId="0" borderId="8" xfId="1" applyFont="1" applyBorder="1" applyAlignment="1">
      <alignment horizontal="center" vertical="center"/>
    </xf>
    <xf numFmtId="9" fontId="3" fillId="0" borderId="8" xfId="0" applyNumberFormat="1" applyFont="1" applyBorder="1"/>
    <xf numFmtId="44" fontId="3" fillId="9" borderId="8" xfId="1" applyFont="1" applyFill="1" applyBorder="1"/>
    <xf numFmtId="9" fontId="3" fillId="9" borderId="8" xfId="0" applyNumberFormat="1" applyFont="1" applyFill="1" applyBorder="1"/>
    <xf numFmtId="0" fontId="3" fillId="2" borderId="8" xfId="0" applyFont="1" applyFill="1" applyBorder="1" applyAlignment="1">
      <alignment horizontal="center"/>
    </xf>
    <xf numFmtId="0" fontId="3" fillId="0" borderId="8" xfId="0" applyFont="1" applyBorder="1" applyAlignment="1"/>
    <xf numFmtId="0" fontId="3" fillId="10" borderId="8" xfId="0" applyFont="1" applyFill="1" applyBorder="1"/>
    <xf numFmtId="0" fontId="3" fillId="10" borderId="15" xfId="0" applyFont="1" applyFill="1" applyBorder="1"/>
    <xf numFmtId="3" fontId="3" fillId="0" borderId="15" xfId="0" applyNumberFormat="1" applyFont="1" applyBorder="1"/>
    <xf numFmtId="0" fontId="4" fillId="2" borderId="65" xfId="0" applyFont="1" applyFill="1" applyBorder="1"/>
    <xf numFmtId="0" fontId="3" fillId="2" borderId="66" xfId="0" applyFont="1" applyFill="1" applyBorder="1"/>
    <xf numFmtId="0" fontId="3" fillId="2" borderId="54" xfId="0" applyFont="1" applyFill="1" applyBorder="1"/>
    <xf numFmtId="0" fontId="3" fillId="2" borderId="67" xfId="0" applyFont="1" applyFill="1" applyBorder="1"/>
    <xf numFmtId="2" fontId="3" fillId="0" borderId="8" xfId="0" applyNumberFormat="1" applyFont="1" applyBorder="1"/>
    <xf numFmtId="0" fontId="3" fillId="9" borderId="8" xfId="0" applyFont="1" applyFill="1" applyBorder="1"/>
    <xf numFmtId="44" fontId="3" fillId="9" borderId="47" xfId="1" applyFont="1" applyFill="1" applyBorder="1"/>
    <xf numFmtId="0" fontId="3" fillId="9" borderId="47" xfId="0" applyFont="1" applyFill="1" applyBorder="1"/>
    <xf numFmtId="0" fontId="3" fillId="0" borderId="47" xfId="0" applyFont="1" applyBorder="1"/>
    <xf numFmtId="44" fontId="3" fillId="0" borderId="47" xfId="1" applyFont="1" applyBorder="1"/>
    <xf numFmtId="0" fontId="3" fillId="0" borderId="68" xfId="0" applyFont="1" applyBorder="1"/>
    <xf numFmtId="0" fontId="3" fillId="10" borderId="68" xfId="0" applyFont="1" applyFill="1" applyBorder="1"/>
    <xf numFmtId="44" fontId="7" fillId="9" borderId="64" xfId="4" applyNumberFormat="1" applyFill="1"/>
    <xf numFmtId="43" fontId="3" fillId="0" borderId="8" xfId="2" applyFont="1" applyBorder="1"/>
    <xf numFmtId="2" fontId="3" fillId="0" borderId="8" xfId="2" applyNumberFormat="1" applyFont="1" applyBorder="1"/>
    <xf numFmtId="43" fontId="3" fillId="0" borderId="8" xfId="0" applyNumberFormat="1" applyFont="1" applyBorder="1"/>
    <xf numFmtId="0" fontId="3" fillId="11" borderId="8" xfId="0" applyFont="1" applyFill="1" applyBorder="1"/>
    <xf numFmtId="0" fontId="4" fillId="10" borderId="0" xfId="0" applyFont="1" applyFill="1"/>
    <xf numFmtId="44" fontId="3" fillId="9" borderId="8" xfId="0" applyNumberFormat="1" applyFont="1" applyFill="1" applyBorder="1"/>
    <xf numFmtId="0" fontId="4" fillId="2" borderId="50" xfId="0" applyFont="1" applyFill="1" applyBorder="1"/>
    <xf numFmtId="44" fontId="3" fillId="9" borderId="66" xfId="0" applyNumberFormat="1" applyFont="1" applyFill="1" applyBorder="1"/>
    <xf numFmtId="9" fontId="3" fillId="9" borderId="54" xfId="0" applyNumberFormat="1" applyFont="1" applyFill="1" applyBorder="1"/>
    <xf numFmtId="44" fontId="3" fillId="9" borderId="67" xfId="0" applyNumberFormat="1" applyFont="1" applyFill="1" applyBorder="1"/>
    <xf numFmtId="9" fontId="4" fillId="2" borderId="50" xfId="0" applyNumberFormat="1" applyFont="1" applyFill="1" applyBorder="1"/>
    <xf numFmtId="0" fontId="3" fillId="9" borderId="66" xfId="0" applyFont="1" applyFill="1" applyBorder="1"/>
    <xf numFmtId="43" fontId="3" fillId="9" borderId="54" xfId="2" applyFont="1" applyFill="1" applyBorder="1"/>
    <xf numFmtId="0" fontId="3" fillId="9" borderId="67" xfId="0" applyFont="1" applyFill="1" applyBorder="1"/>
    <xf numFmtId="43" fontId="3" fillId="9" borderId="57" xfId="2" applyFont="1" applyFill="1" applyBorder="1"/>
    <xf numFmtId="0" fontId="3" fillId="2" borderId="54" xfId="0" applyFont="1" applyFill="1" applyBorder="1" applyAlignment="1">
      <alignment horizontal="left"/>
    </xf>
    <xf numFmtId="0" fontId="3" fillId="2" borderId="57" xfId="0" applyFont="1" applyFill="1" applyBorder="1" applyAlignment="1">
      <alignment horizontal="left"/>
    </xf>
    <xf numFmtId="0" fontId="14" fillId="2" borderId="8" xfId="0" applyFont="1" applyFill="1" applyBorder="1"/>
    <xf numFmtId="9" fontId="3" fillId="9" borderId="57" xfId="0" applyNumberFormat="1" applyFont="1" applyFill="1" applyBorder="1"/>
    <xf numFmtId="44" fontId="4" fillId="9" borderId="8" xfId="0" applyNumberFormat="1" applyFont="1" applyFill="1" applyBorder="1"/>
    <xf numFmtId="0" fontId="4" fillId="9" borderId="8" xfId="0" applyFont="1" applyFill="1" applyBorder="1"/>
    <xf numFmtId="44" fontId="3" fillId="9" borderId="67" xfId="1" applyFont="1" applyFill="1" applyBorder="1"/>
    <xf numFmtId="165" fontId="3" fillId="0" borderId="8" xfId="0" applyNumberFormat="1" applyFont="1" applyBorder="1"/>
    <xf numFmtId="165" fontId="3" fillId="9" borderId="67" xfId="0" applyNumberFormat="1" applyFont="1" applyFill="1" applyBorder="1"/>
    <xf numFmtId="164" fontId="3" fillId="10" borderId="0" xfId="0" applyNumberFormat="1" applyFont="1" applyFill="1" applyBorder="1" applyAlignment="1">
      <alignment horizontal="center"/>
    </xf>
    <xf numFmtId="9" fontId="3" fillId="10" borderId="0" xfId="0" applyNumberFormat="1" applyFont="1" applyFill="1" applyBorder="1" applyAlignment="1">
      <alignment horizontal="center"/>
    </xf>
    <xf numFmtId="0" fontId="3" fillId="9" borderId="8" xfId="0" applyFont="1" applyFill="1" applyBorder="1" applyAlignment="1">
      <alignment wrapText="1"/>
    </xf>
    <xf numFmtId="43" fontId="4" fillId="9" borderId="64" xfId="4" applyNumberFormat="1" applyFont="1" applyFill="1"/>
    <xf numFmtId="0" fontId="2" fillId="0" borderId="0" xfId="0" applyFont="1"/>
    <xf numFmtId="0" fontId="6" fillId="0" borderId="0" xfId="0" applyFont="1" applyAlignment="1">
      <alignment vertical="top" wrapText="1"/>
    </xf>
    <xf numFmtId="0" fontId="0" fillId="0" borderId="69" xfId="0" applyBorder="1"/>
    <xf numFmtId="0" fontId="6" fillId="0" borderId="44" xfId="0" applyFont="1" applyBorder="1"/>
    <xf numFmtId="0" fontId="0" fillId="0" borderId="58" xfId="0" applyBorder="1"/>
    <xf numFmtId="0" fontId="6" fillId="0" borderId="8" xfId="0" applyFont="1" applyBorder="1" applyAlignment="1">
      <alignment horizontal="center"/>
    </xf>
    <xf numFmtId="0" fontId="2" fillId="0" borderId="0" xfId="0" applyFont="1" applyAlignment="1">
      <alignment horizontal="left"/>
    </xf>
    <xf numFmtId="0" fontId="6" fillId="0" borderId="0" xfId="0" applyFont="1" applyAlignment="1"/>
    <xf numFmtId="0" fontId="2" fillId="0" borderId="0" xfId="0" applyFont="1" applyAlignment="1"/>
    <xf numFmtId="0" fontId="12" fillId="8" borderId="1" xfId="0" applyFont="1" applyFill="1" applyBorder="1" applyAlignment="1">
      <alignment horizontal="center"/>
    </xf>
    <xf numFmtId="0" fontId="12" fillId="8" borderId="3" xfId="0" applyFont="1" applyFill="1" applyBorder="1" applyAlignment="1">
      <alignment horizontal="center"/>
    </xf>
    <xf numFmtId="0" fontId="4" fillId="2" borderId="8" xfId="0" applyFont="1" applyFill="1" applyBorder="1" applyAlignment="1">
      <alignment horizontal="center"/>
    </xf>
    <xf numFmtId="9" fontId="3" fillId="9" borderId="54" xfId="0" applyNumberFormat="1" applyFont="1" applyFill="1" applyBorder="1" applyAlignment="1">
      <alignment horizontal="center" vertical="center"/>
    </xf>
    <xf numFmtId="9" fontId="3" fillId="9" borderId="57" xfId="0" applyNumberFormat="1" applyFont="1" applyFill="1" applyBorder="1" applyAlignment="1">
      <alignment horizontal="center" vertical="center"/>
    </xf>
    <xf numFmtId="44" fontId="3" fillId="9" borderId="66" xfId="1" applyFont="1" applyFill="1" applyBorder="1" applyAlignment="1">
      <alignment horizontal="center" vertical="center"/>
    </xf>
    <xf numFmtId="44" fontId="3" fillId="9" borderId="67" xfId="1" applyFont="1" applyFill="1" applyBorder="1" applyAlignment="1">
      <alignment horizontal="center" vertic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164" fontId="4" fillId="0" borderId="11" xfId="0" applyNumberFormat="1" applyFont="1" applyBorder="1" applyAlignment="1">
      <alignment horizontal="center" vertical="center"/>
    </xf>
    <xf numFmtId="164" fontId="4" fillId="0" borderId="12" xfId="0" applyNumberFormat="1" applyFont="1" applyBorder="1" applyAlignment="1">
      <alignment horizontal="center" vertical="center"/>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34" xfId="0" applyFont="1" applyBorder="1" applyAlignment="1">
      <alignment horizontal="center"/>
    </xf>
    <xf numFmtId="0" fontId="3" fillId="0" borderId="42" xfId="0" applyFont="1" applyBorder="1" applyAlignment="1">
      <alignment horizontal="center"/>
    </xf>
    <xf numFmtId="164" fontId="4" fillId="0" borderId="36" xfId="0" applyNumberFormat="1" applyFont="1" applyBorder="1" applyAlignment="1">
      <alignment horizontal="center"/>
    </xf>
    <xf numFmtId="164" fontId="4" fillId="0" borderId="42" xfId="0" applyNumberFormat="1" applyFont="1" applyBorder="1" applyAlignment="1">
      <alignment horizontal="center"/>
    </xf>
    <xf numFmtId="164" fontId="4" fillId="0" borderId="37" xfId="0" applyNumberFormat="1" applyFont="1" applyBorder="1" applyAlignment="1">
      <alignment horizontal="center"/>
    </xf>
    <xf numFmtId="0" fontId="3" fillId="0" borderId="39" xfId="0" applyFont="1" applyBorder="1" applyAlignment="1">
      <alignment horizontal="center"/>
    </xf>
    <xf numFmtId="0" fontId="3" fillId="0" borderId="40" xfId="0" applyFont="1" applyBorder="1" applyAlignment="1">
      <alignment horizontal="center"/>
    </xf>
    <xf numFmtId="0" fontId="3" fillId="0" borderId="28" xfId="0" applyFont="1" applyBorder="1" applyAlignment="1">
      <alignment horizontal="center"/>
    </xf>
    <xf numFmtId="0" fontId="3" fillId="0" borderId="41" xfId="0" applyFont="1" applyBorder="1" applyAlignment="1">
      <alignment horizontal="center"/>
    </xf>
    <xf numFmtId="0" fontId="3" fillId="0" borderId="30" xfId="0" applyFont="1" applyBorder="1" applyAlignment="1">
      <alignment horizontal="center"/>
    </xf>
    <xf numFmtId="0" fontId="3" fillId="0" borderId="38" xfId="0" applyFont="1" applyBorder="1" applyAlignment="1">
      <alignment horizontal="center"/>
    </xf>
    <xf numFmtId="0" fontId="3" fillId="0" borderId="32" xfId="0" applyFont="1" applyBorder="1" applyAlignment="1">
      <alignment horizontal="center"/>
    </xf>
    <xf numFmtId="0" fontId="3" fillId="0" borderId="33" xfId="0" applyFont="1" applyBorder="1" applyAlignment="1">
      <alignment horizontal="center"/>
    </xf>
    <xf numFmtId="0" fontId="4" fillId="2" borderId="28" xfId="0" applyFont="1" applyFill="1" applyBorder="1" applyAlignment="1">
      <alignment horizontal="center"/>
    </xf>
    <xf numFmtId="0" fontId="4" fillId="2" borderId="15" xfId="0" applyFont="1" applyFill="1" applyBorder="1" applyAlignment="1">
      <alignment horizontal="center"/>
    </xf>
    <xf numFmtId="44" fontId="4" fillId="2" borderId="28" xfId="0" applyNumberFormat="1" applyFont="1" applyFill="1" applyBorder="1" applyAlignment="1">
      <alignment horizontal="center"/>
    </xf>
    <xf numFmtId="44" fontId="4" fillId="2" borderId="15" xfId="0" applyNumberFormat="1" applyFont="1" applyFill="1" applyBorder="1" applyAlignment="1">
      <alignment horizontal="center"/>
    </xf>
    <xf numFmtId="0" fontId="4" fillId="2" borderId="40" xfId="0" applyFont="1" applyFill="1" applyBorder="1" applyAlignment="1">
      <alignment horizontal="center"/>
    </xf>
    <xf numFmtId="0" fontId="3" fillId="2" borderId="8" xfId="0" applyFont="1" applyFill="1" applyBorder="1" applyAlignment="1">
      <alignment horizontal="center"/>
    </xf>
    <xf numFmtId="0" fontId="5" fillId="0" borderId="0" xfId="0" applyFont="1" applyAlignment="1">
      <alignment horizontal="center"/>
    </xf>
    <xf numFmtId="9" fontId="3" fillId="9" borderId="54" xfId="0" applyNumberFormat="1" applyFont="1" applyFill="1" applyBorder="1"/>
    <xf numFmtId="9" fontId="3" fillId="9" borderId="57" xfId="0" applyNumberFormat="1" applyFont="1" applyFill="1" applyBorder="1"/>
    <xf numFmtId="44" fontId="3" fillId="0" borderId="8" xfId="1" applyFont="1" applyBorder="1" applyAlignment="1">
      <alignment horizontal="center"/>
    </xf>
    <xf numFmtId="44" fontId="7" fillId="0" borderId="64" xfId="4" applyNumberFormat="1" applyAlignment="1">
      <alignment horizontal="center"/>
    </xf>
    <xf numFmtId="165" fontId="3" fillId="0" borderId="36" xfId="0" applyNumberFormat="1" applyFont="1" applyBorder="1" applyAlignment="1">
      <alignment horizontal="center"/>
    </xf>
    <xf numFmtId="165" fontId="3" fillId="0" borderId="42" xfId="0" applyNumberFormat="1" applyFont="1" applyBorder="1" applyAlignment="1">
      <alignment horizontal="center"/>
    </xf>
    <xf numFmtId="165" fontId="3" fillId="0" borderId="37" xfId="0" applyNumberFormat="1" applyFont="1" applyBorder="1" applyAlignment="1">
      <alignment horizontal="center"/>
    </xf>
    <xf numFmtId="164" fontId="3" fillId="0" borderId="36" xfId="0" applyNumberFormat="1" applyFont="1" applyBorder="1" applyAlignment="1">
      <alignment horizontal="center"/>
    </xf>
    <xf numFmtId="164" fontId="3" fillId="0" borderId="42" xfId="0" applyNumberFormat="1" applyFont="1" applyBorder="1" applyAlignment="1">
      <alignment horizontal="center"/>
    </xf>
    <xf numFmtId="164" fontId="3" fillId="0" borderId="37" xfId="0" applyNumberFormat="1" applyFont="1" applyBorder="1" applyAlignment="1">
      <alignment horizontal="center"/>
    </xf>
    <xf numFmtId="3" fontId="3" fillId="0" borderId="0" xfId="0" applyNumberFormat="1" applyFont="1" applyBorder="1" applyAlignment="1">
      <alignment horizontal="center"/>
    </xf>
    <xf numFmtId="0" fontId="3" fillId="0" borderId="0" xfId="0" applyFont="1" applyBorder="1" applyAlignment="1">
      <alignment horizontal="center"/>
    </xf>
    <xf numFmtId="0" fontId="5" fillId="0" borderId="29" xfId="0" applyFont="1" applyBorder="1" applyAlignment="1">
      <alignment horizontal="left"/>
    </xf>
    <xf numFmtId="0" fontId="4" fillId="2" borderId="30" xfId="0" applyFont="1" applyFill="1" applyBorder="1" applyAlignment="1">
      <alignment horizontal="center"/>
    </xf>
    <xf numFmtId="0" fontId="4" fillId="2" borderId="31" xfId="0" applyFont="1" applyFill="1" applyBorder="1" applyAlignment="1">
      <alignment horizontal="center"/>
    </xf>
    <xf numFmtId="0" fontId="4" fillId="2" borderId="32" xfId="0" applyFont="1" applyFill="1" applyBorder="1" applyAlignment="1">
      <alignment horizontal="center"/>
    </xf>
    <xf numFmtId="0" fontId="4" fillId="2" borderId="33" xfId="0" applyFont="1" applyFill="1" applyBorder="1" applyAlignment="1">
      <alignment horizontal="center"/>
    </xf>
    <xf numFmtId="0" fontId="3" fillId="0" borderId="17" xfId="0" applyFont="1" applyBorder="1" applyAlignment="1">
      <alignment horizontal="center"/>
    </xf>
    <xf numFmtId="0" fontId="3" fillId="0" borderId="27" xfId="0" applyFont="1" applyBorder="1" applyAlignment="1">
      <alignment horizontal="center"/>
    </xf>
    <xf numFmtId="0" fontId="3" fillId="0" borderId="15" xfId="0" applyFont="1" applyBorder="1" applyAlignment="1">
      <alignment horizontal="center"/>
    </xf>
    <xf numFmtId="164" fontId="3" fillId="3" borderId="34" xfId="0" applyNumberFormat="1" applyFont="1" applyFill="1" applyBorder="1" applyAlignment="1">
      <alignment horizontal="center"/>
    </xf>
    <xf numFmtId="164" fontId="3" fillId="3" borderId="35" xfId="0" applyNumberFormat="1" applyFont="1" applyFill="1" applyBorder="1" applyAlignment="1">
      <alignment horizontal="center"/>
    </xf>
    <xf numFmtId="9" fontId="3" fillId="3" borderId="36" xfId="0" applyNumberFormat="1" applyFont="1" applyFill="1" applyBorder="1" applyAlignment="1">
      <alignment horizontal="center"/>
    </xf>
    <xf numFmtId="9" fontId="3" fillId="3" borderId="37" xfId="0" applyNumberFormat="1" applyFont="1" applyFill="1" applyBorder="1" applyAlignment="1">
      <alignment horizontal="center"/>
    </xf>
    <xf numFmtId="0" fontId="2" fillId="0" borderId="24" xfId="0" applyFont="1" applyBorder="1" applyAlignment="1">
      <alignment horizontal="left"/>
    </xf>
    <xf numFmtId="0" fontId="3" fillId="2" borderId="19" xfId="0" applyFont="1" applyFill="1" applyBorder="1" applyAlignment="1">
      <alignment horizontal="center" wrapText="1"/>
    </xf>
    <xf numFmtId="0" fontId="3" fillId="2" borderId="18" xfId="0" applyFont="1" applyFill="1" applyBorder="1" applyAlignment="1">
      <alignment horizontal="center" wrapText="1"/>
    </xf>
    <xf numFmtId="3" fontId="3" fillId="0" borderId="17" xfId="0" applyNumberFormat="1" applyFont="1" applyBorder="1" applyAlignment="1">
      <alignment horizontal="center"/>
    </xf>
    <xf numFmtId="3" fontId="3" fillId="0" borderId="27" xfId="0" applyNumberFormat="1" applyFont="1" applyBorder="1" applyAlignment="1">
      <alignment horizontal="center"/>
    </xf>
    <xf numFmtId="3" fontId="3" fillId="0" borderId="28" xfId="0" applyNumberFormat="1" applyFont="1" applyBorder="1" applyAlignment="1">
      <alignment horizontal="center"/>
    </xf>
    <xf numFmtId="3" fontId="3" fillId="0" borderId="15" xfId="0" applyNumberFormat="1" applyFont="1" applyBorder="1" applyAlignment="1">
      <alignment horizontal="center"/>
    </xf>
    <xf numFmtId="0" fontId="3" fillId="2" borderId="22"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3" xfId="0" applyFont="1" applyFill="1" applyBorder="1" applyAlignment="1">
      <alignment horizontal="center" vertical="center"/>
    </xf>
    <xf numFmtId="0" fontId="2" fillId="0" borderId="0" xfId="0" applyFont="1" applyAlignment="1">
      <alignment horizontal="left" wrapText="1"/>
    </xf>
    <xf numFmtId="0" fontId="3" fillId="2" borderId="21" xfId="0" applyFont="1" applyFill="1" applyBorder="1" applyAlignment="1">
      <alignment horizontal="center" vertical="center"/>
    </xf>
    <xf numFmtId="0" fontId="3" fillId="2" borderId="24" xfId="0" applyFont="1" applyFill="1" applyBorder="1" applyAlignment="1">
      <alignment horizontal="center" vertical="center"/>
    </xf>
    <xf numFmtId="0" fontId="6" fillId="0" borderId="0" xfId="0" applyFont="1" applyAlignment="1">
      <alignment horizontal="center" wrapText="1"/>
    </xf>
    <xf numFmtId="0" fontId="0" fillId="0" borderId="0" xfId="0" applyAlignment="1">
      <alignment horizontal="center" wrapText="1"/>
    </xf>
    <xf numFmtId="0" fontId="6" fillId="0" borderId="8" xfId="0" applyFont="1" applyBorder="1" applyAlignment="1">
      <alignment horizontal="left"/>
    </xf>
    <xf numFmtId="0" fontId="6" fillId="0" borderId="0" xfId="0" applyFont="1" applyAlignment="1">
      <alignment horizontal="left"/>
    </xf>
    <xf numFmtId="0" fontId="12" fillId="8" borderId="1" xfId="0" applyFont="1" applyFill="1" applyBorder="1" applyAlignment="1">
      <alignment horizontal="center" wrapText="1"/>
    </xf>
    <xf numFmtId="0" fontId="12" fillId="8" borderId="2" xfId="0" applyFont="1" applyFill="1" applyBorder="1" applyAlignment="1">
      <alignment horizontal="center" wrapText="1"/>
    </xf>
    <xf numFmtId="0" fontId="12" fillId="8" borderId="3" xfId="0" applyFont="1" applyFill="1" applyBorder="1" applyAlignment="1">
      <alignment horizontal="center" wrapText="1"/>
    </xf>
    <xf numFmtId="0" fontId="15" fillId="3" borderId="15" xfId="0" applyFont="1" applyFill="1" applyBorder="1" applyAlignment="1">
      <alignment horizontal="center" wrapText="1"/>
    </xf>
    <xf numFmtId="0" fontId="15" fillId="3" borderId="8" xfId="0" applyFont="1" applyFill="1" applyBorder="1" applyAlignment="1">
      <alignment horizontal="center" wrapText="1"/>
    </xf>
    <xf numFmtId="0" fontId="6" fillId="0" borderId="26" xfId="0" applyFont="1" applyBorder="1" applyAlignment="1">
      <alignment horizontal="left"/>
    </xf>
    <xf numFmtId="0" fontId="6" fillId="0" borderId="0" xfId="0" applyFont="1" applyAlignment="1">
      <alignment horizontal="center" vertical="top" wrapText="1"/>
    </xf>
    <xf numFmtId="0" fontId="10" fillId="0" borderId="63"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60" xfId="0" applyFont="1" applyBorder="1" applyAlignment="1">
      <alignment horizontal="center" vertical="center" wrapText="1"/>
    </xf>
    <xf numFmtId="0" fontId="10" fillId="0" borderId="61" xfId="0" applyFont="1" applyBorder="1" applyAlignment="1">
      <alignment horizontal="center" vertical="center" wrapText="1"/>
    </xf>
    <xf numFmtId="0" fontId="7" fillId="0" borderId="62" xfId="0" applyFont="1" applyBorder="1" applyAlignment="1">
      <alignment horizontal="center" vertical="center"/>
    </xf>
    <xf numFmtId="0" fontId="10" fillId="0" borderId="43" xfId="0" applyFont="1" applyBorder="1" applyAlignment="1">
      <alignment horizontal="center" vertical="center" wrapText="1"/>
    </xf>
    <xf numFmtId="0" fontId="10" fillId="0" borderId="58" xfId="0" applyFont="1" applyBorder="1" applyAlignment="1">
      <alignment horizontal="center" vertical="center" wrapText="1"/>
    </xf>
    <xf numFmtId="0" fontId="9" fillId="4" borderId="20" xfId="0" applyFont="1" applyFill="1" applyBorder="1" applyAlignment="1">
      <alignment horizontal="center" vertical="center"/>
    </xf>
    <xf numFmtId="0" fontId="9" fillId="4" borderId="21" xfId="0" applyFont="1" applyFill="1" applyBorder="1" applyAlignment="1">
      <alignment horizontal="center" vertical="center"/>
    </xf>
    <xf numFmtId="0" fontId="9" fillId="4" borderId="22" xfId="0" applyFont="1" applyFill="1" applyBorder="1" applyAlignment="1">
      <alignment horizontal="center" vertical="center"/>
    </xf>
    <xf numFmtId="0" fontId="9" fillId="4" borderId="43" xfId="0" applyFont="1" applyFill="1" applyBorder="1" applyAlignment="1">
      <alignment horizontal="center" vertical="center"/>
    </xf>
    <xf numFmtId="0" fontId="9" fillId="4" borderId="44" xfId="0" applyFont="1" applyFill="1" applyBorder="1" applyAlignment="1">
      <alignment horizontal="center" vertical="center"/>
    </xf>
    <xf numFmtId="0" fontId="9" fillId="4" borderId="45" xfId="0" applyFont="1" applyFill="1" applyBorder="1" applyAlignment="1">
      <alignment horizontal="center" vertical="center"/>
    </xf>
    <xf numFmtId="0" fontId="0" fillId="2" borderId="49" xfId="0" applyFill="1" applyBorder="1" applyAlignment="1">
      <alignment horizontal="center" vertical="center" wrapText="1"/>
    </xf>
    <xf numFmtId="0" fontId="0" fillId="2" borderId="51" xfId="0" applyFill="1" applyBorder="1" applyAlignment="1">
      <alignment horizontal="center" vertical="center" wrapText="1"/>
    </xf>
    <xf numFmtId="0" fontId="0" fillId="2" borderId="55" xfId="0" applyFill="1" applyBorder="1" applyAlignment="1">
      <alignment horizontal="center" vertical="center" wrapText="1"/>
    </xf>
    <xf numFmtId="0" fontId="0" fillId="5" borderId="49" xfId="0" applyFill="1" applyBorder="1" applyAlignment="1">
      <alignment horizontal="center" vertical="center" wrapText="1"/>
    </xf>
    <xf numFmtId="0" fontId="0" fillId="5" borderId="51" xfId="0" applyFill="1" applyBorder="1" applyAlignment="1">
      <alignment horizontal="center" vertical="center" wrapText="1"/>
    </xf>
    <xf numFmtId="0" fontId="0" fillId="5" borderId="55" xfId="0" applyFill="1" applyBorder="1" applyAlignment="1">
      <alignment horizontal="center" vertical="center" wrapText="1"/>
    </xf>
    <xf numFmtId="0" fontId="0" fillId="6" borderId="49" xfId="0" applyFill="1" applyBorder="1" applyAlignment="1">
      <alignment horizontal="center" vertical="center" wrapText="1"/>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7" borderId="20" xfId="0" applyFill="1" applyBorder="1" applyAlignment="1">
      <alignment horizontal="center" vertical="center" wrapText="1"/>
    </xf>
    <xf numFmtId="0" fontId="0" fillId="7" borderId="23" xfId="0" applyFill="1" applyBorder="1" applyAlignment="1">
      <alignment horizontal="center" vertical="center" wrapText="1"/>
    </xf>
  </cellXfs>
  <cellStyles count="5">
    <cellStyle name="Comma" xfId="2" builtinId="3"/>
    <cellStyle name="Currency" xfId="1" builtinId="4"/>
    <cellStyle name="Normal" xfId="0" builtinId="0"/>
    <cellStyle name="Percent" xfId="3" builtinId="5"/>
    <cellStyle name="Total" xfId="4" builtin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80682</xdr:colOff>
      <xdr:row>31</xdr:row>
      <xdr:rowOff>45719</xdr:rowOff>
    </xdr:to>
    <xdr:pic>
      <xdr:nvPicPr>
        <xdr:cNvPr id="2" name="Picture 1">
          <a:extLst>
            <a:ext uri="{FF2B5EF4-FFF2-40B4-BE49-F238E27FC236}">
              <a16:creationId xmlns:a16="http://schemas.microsoft.com/office/drawing/2014/main" id="{7AEE69C5-FB85-4664-8C3B-0E2238F75D4B}"/>
            </a:ext>
          </a:extLst>
        </xdr:cNvPr>
        <xdr:cNvPicPr>
          <a:picLocks noChangeAspect="1"/>
        </xdr:cNvPicPr>
      </xdr:nvPicPr>
      <xdr:blipFill>
        <a:blip xmlns:r="http://schemas.openxmlformats.org/officeDocument/2006/relationships" r:embed="rId1"/>
        <a:stretch>
          <a:fillRect/>
        </a:stretch>
      </xdr:blipFill>
      <xdr:spPr>
        <a:xfrm>
          <a:off x="1" y="0"/>
          <a:ext cx="7395881" cy="57149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36121-788D-438A-AEED-E30D91E9F49C}">
  <dimension ref="A1:D5"/>
  <sheetViews>
    <sheetView workbookViewId="0">
      <selection activeCell="A5" sqref="A5"/>
    </sheetView>
  </sheetViews>
  <sheetFormatPr defaultRowHeight="14.5" x14ac:dyDescent="0.35"/>
  <cols>
    <col min="1" max="1" width="21" bestFit="1" customWidth="1"/>
    <col min="2" max="2" width="18" bestFit="1" customWidth="1"/>
    <col min="3" max="3" width="19.54296875" bestFit="1" customWidth="1"/>
  </cols>
  <sheetData>
    <row r="1" spans="1:4" ht="29.5" thickTop="1" thickBot="1" x14ac:dyDescent="0.7">
      <c r="A1" s="153" t="s">
        <v>136</v>
      </c>
      <c r="B1" s="154"/>
      <c r="D1" s="71"/>
    </row>
    <row r="2" spans="1:4" ht="15" thickTop="1" x14ac:dyDescent="0.35"/>
    <row r="3" spans="1:4" ht="24" thickBot="1" x14ac:dyDescent="0.6">
      <c r="A3" s="72" t="s">
        <v>18</v>
      </c>
      <c r="B3" s="73">
        <v>7.0000000000000007E-2</v>
      </c>
      <c r="C3" s="3"/>
      <c r="D3" s="3"/>
    </row>
    <row r="4" spans="1:4" ht="24" thickBot="1" x14ac:dyDescent="0.6">
      <c r="A4" s="74" t="s">
        <v>118</v>
      </c>
      <c r="B4" s="74" t="s">
        <v>4</v>
      </c>
      <c r="C4" s="74" t="s">
        <v>137</v>
      </c>
      <c r="D4" s="74" t="s">
        <v>138</v>
      </c>
    </row>
    <row r="5" spans="1:4" ht="24" thickBot="1" x14ac:dyDescent="0.6">
      <c r="A5" s="75">
        <f>Recreation!$A$14+'Decreased Auto Use'!$A$13+Environment!$A$59+Mobility!$A$14+Health!$A$14+Safety!$A$26+'Time Saving'!$A$14-Costs!$B$17</f>
        <v>186863560.40814209</v>
      </c>
      <c r="B5" s="75">
        <f>Costs!$A$17</f>
        <v>29351415.115552314</v>
      </c>
      <c r="C5" s="75">
        <f>A5-B5</f>
        <v>157512145.29258978</v>
      </c>
      <c r="D5" s="76">
        <f>A5/B5</f>
        <v>6.3664242310800701</v>
      </c>
    </row>
  </sheetData>
  <mergeCells count="1">
    <mergeCell ref="A1:B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33CA3-A329-4153-B180-3995531FCABE}">
  <dimension ref="B1:P37"/>
  <sheetViews>
    <sheetView workbookViewId="0">
      <selection activeCell="I42" sqref="I42"/>
    </sheetView>
  </sheetViews>
  <sheetFormatPr defaultRowHeight="14.5" x14ac:dyDescent="0.35"/>
  <cols>
    <col min="3" max="3" width="10.1796875" customWidth="1"/>
    <col min="4" max="4" width="10.453125" customWidth="1"/>
  </cols>
  <sheetData>
    <row r="1" spans="2:16" ht="29.5" thickTop="1" thickBot="1" x14ac:dyDescent="0.7">
      <c r="B1" s="237" t="s">
        <v>148</v>
      </c>
      <c r="C1" s="238"/>
      <c r="D1" s="238"/>
      <c r="E1" s="239"/>
    </row>
    <row r="2" spans="2:16" ht="15" thickTop="1" x14ac:dyDescent="0.35"/>
    <row r="3" spans="2:16" ht="21" x14ac:dyDescent="0.5">
      <c r="B3" s="144" t="s">
        <v>149</v>
      </c>
    </row>
    <row r="4" spans="2:16" ht="21" x14ac:dyDescent="0.5">
      <c r="B4" s="144"/>
    </row>
    <row r="5" spans="2:16" ht="14.5" customHeight="1" x14ac:dyDescent="0.35">
      <c r="B5" s="243" t="s">
        <v>157</v>
      </c>
      <c r="C5" s="243"/>
      <c r="D5" s="243"/>
      <c r="E5" s="243"/>
      <c r="F5" s="243"/>
      <c r="G5" s="243"/>
      <c r="H5" s="243"/>
      <c r="I5" s="243"/>
      <c r="J5" s="243"/>
      <c r="K5" s="243"/>
      <c r="L5" s="243"/>
      <c r="M5" s="243"/>
      <c r="N5" s="69"/>
      <c r="O5" s="69"/>
      <c r="P5" s="69"/>
    </row>
    <row r="6" spans="2:16" ht="14.5" customHeight="1" x14ac:dyDescent="0.35">
      <c r="B6" s="243"/>
      <c r="C6" s="243"/>
      <c r="D6" s="243"/>
      <c r="E6" s="243"/>
      <c r="F6" s="243"/>
      <c r="G6" s="243"/>
      <c r="H6" s="243"/>
      <c r="I6" s="243"/>
      <c r="J6" s="243"/>
      <c r="K6" s="243"/>
      <c r="L6" s="243"/>
      <c r="M6" s="243"/>
      <c r="N6" s="69"/>
      <c r="O6" s="69"/>
      <c r="P6" s="69"/>
    </row>
    <row r="7" spans="2:16" ht="17.5" customHeight="1" x14ac:dyDescent="0.35">
      <c r="B7" s="243"/>
      <c r="C7" s="243"/>
      <c r="D7" s="243"/>
      <c r="E7" s="243"/>
      <c r="F7" s="243"/>
      <c r="G7" s="243"/>
      <c r="H7" s="243"/>
      <c r="I7" s="243"/>
      <c r="J7" s="243"/>
      <c r="K7" s="243"/>
      <c r="L7" s="243"/>
      <c r="M7" s="243"/>
      <c r="N7" s="69"/>
      <c r="O7" s="69"/>
      <c r="P7" s="69"/>
    </row>
    <row r="8" spans="2:16" ht="17.5" customHeight="1" x14ac:dyDescent="0.35">
      <c r="B8" s="243"/>
      <c r="C8" s="243"/>
      <c r="D8" s="243"/>
      <c r="E8" s="243"/>
      <c r="F8" s="243"/>
      <c r="G8" s="243"/>
      <c r="H8" s="243"/>
      <c r="I8" s="243"/>
      <c r="J8" s="243"/>
      <c r="K8" s="243"/>
      <c r="L8" s="243"/>
      <c r="M8" s="243"/>
      <c r="N8" s="69"/>
      <c r="O8" s="69"/>
      <c r="P8" s="69"/>
    </row>
    <row r="9" spans="2:16" ht="15.5" x14ac:dyDescent="0.35">
      <c r="B9" s="145"/>
      <c r="C9" s="145"/>
      <c r="D9" s="145"/>
      <c r="E9" s="145"/>
      <c r="F9" s="145"/>
      <c r="G9" s="145"/>
      <c r="H9" s="145"/>
      <c r="I9" s="145"/>
      <c r="J9" s="145"/>
      <c r="K9" s="145"/>
      <c r="L9" s="145"/>
      <c r="M9" s="145"/>
      <c r="N9" s="69"/>
      <c r="O9" s="69"/>
      <c r="P9" s="69"/>
    </row>
    <row r="10" spans="2:16" ht="15.5" x14ac:dyDescent="0.35">
      <c r="B10" s="145"/>
      <c r="D10" s="146"/>
      <c r="E10" s="240" t="s">
        <v>150</v>
      </c>
      <c r="F10" s="241" t="s">
        <v>151</v>
      </c>
      <c r="G10" s="241" t="s">
        <v>152</v>
      </c>
      <c r="H10" s="145"/>
      <c r="I10" s="145"/>
      <c r="J10" s="145"/>
      <c r="K10" s="145"/>
      <c r="L10" s="145"/>
      <c r="M10" s="145"/>
      <c r="N10" s="69"/>
      <c r="O10" s="69"/>
      <c r="P10" s="69"/>
    </row>
    <row r="11" spans="2:16" ht="15.5" x14ac:dyDescent="0.35">
      <c r="C11" s="147"/>
      <c r="D11" s="148"/>
      <c r="E11" s="240"/>
      <c r="F11" s="241"/>
      <c r="G11" s="241"/>
    </row>
    <row r="12" spans="2:16" ht="15.5" x14ac:dyDescent="0.35">
      <c r="C12" s="242" t="s">
        <v>153</v>
      </c>
      <c r="D12" s="242"/>
      <c r="E12" s="149">
        <v>125</v>
      </c>
      <c r="F12" s="149">
        <v>125</v>
      </c>
      <c r="G12" s="149">
        <v>125</v>
      </c>
    </row>
    <row r="13" spans="2:16" ht="15.5" x14ac:dyDescent="0.35">
      <c r="C13" s="235" t="s">
        <v>154</v>
      </c>
      <c r="D13" s="235"/>
      <c r="E13" s="149">
        <v>33</v>
      </c>
      <c r="F13" s="149">
        <v>33</v>
      </c>
      <c r="G13" s="149">
        <v>33</v>
      </c>
    </row>
    <row r="14" spans="2:16" ht="15.5" x14ac:dyDescent="0.35">
      <c r="C14" s="235" t="s">
        <v>13</v>
      </c>
      <c r="D14" s="235"/>
      <c r="E14" s="149">
        <v>572</v>
      </c>
      <c r="F14" s="149">
        <v>7746</v>
      </c>
      <c r="G14" s="149">
        <v>11545</v>
      </c>
    </row>
    <row r="15" spans="2:16" ht="15.5" x14ac:dyDescent="0.35">
      <c r="C15" s="235" t="s">
        <v>14</v>
      </c>
      <c r="D15" s="235"/>
      <c r="E15" s="149">
        <v>186</v>
      </c>
      <c r="F15" s="149">
        <v>2097</v>
      </c>
      <c r="G15" s="149">
        <v>3109</v>
      </c>
    </row>
    <row r="17" spans="2:13" ht="21" x14ac:dyDescent="0.5">
      <c r="B17" s="144" t="s">
        <v>156</v>
      </c>
    </row>
    <row r="19" spans="2:13" x14ac:dyDescent="0.35">
      <c r="B19" s="234" t="s">
        <v>160</v>
      </c>
      <c r="C19" s="234"/>
      <c r="D19" s="234"/>
      <c r="E19" s="234"/>
      <c r="F19" s="234"/>
      <c r="G19" s="234"/>
      <c r="H19" s="234"/>
      <c r="I19" s="234"/>
      <c r="J19" s="234"/>
      <c r="K19" s="234"/>
      <c r="L19" s="234"/>
      <c r="M19" s="234"/>
    </row>
    <row r="20" spans="2:13" x14ac:dyDescent="0.35">
      <c r="B20" s="234"/>
      <c r="C20" s="234"/>
      <c r="D20" s="234"/>
      <c r="E20" s="234"/>
      <c r="F20" s="234"/>
      <c r="G20" s="234"/>
      <c r="H20" s="234"/>
      <c r="I20" s="234"/>
      <c r="J20" s="234"/>
      <c r="K20" s="234"/>
      <c r="L20" s="234"/>
      <c r="M20" s="234"/>
    </row>
    <row r="21" spans="2:13" ht="21" x14ac:dyDescent="0.5">
      <c r="B21" s="150" t="s">
        <v>155</v>
      </c>
    </row>
    <row r="23" spans="2:13" ht="15.65" customHeight="1" x14ac:dyDescent="0.35">
      <c r="B23" s="233" t="s">
        <v>158</v>
      </c>
      <c r="C23" s="233"/>
      <c r="D23" s="233"/>
      <c r="E23" s="233"/>
      <c r="F23" s="233"/>
      <c r="G23" s="233"/>
      <c r="H23" s="233"/>
      <c r="I23" s="233"/>
      <c r="J23" s="233"/>
      <c r="K23" s="233"/>
      <c r="L23" s="233"/>
      <c r="M23" s="233"/>
    </row>
    <row r="24" spans="2:13" ht="15.65" customHeight="1" x14ac:dyDescent="0.35">
      <c r="B24" s="233"/>
      <c r="C24" s="233"/>
      <c r="D24" s="233"/>
      <c r="E24" s="233"/>
      <c r="F24" s="233"/>
      <c r="G24" s="233"/>
      <c r="H24" s="233"/>
      <c r="I24" s="233"/>
      <c r="J24" s="233"/>
      <c r="K24" s="233"/>
      <c r="L24" s="233"/>
      <c r="M24" s="233"/>
    </row>
    <row r="25" spans="2:13" ht="15.5" x14ac:dyDescent="0.35">
      <c r="B25" s="236"/>
      <c r="C25" s="236"/>
      <c r="D25" s="236"/>
      <c r="E25" s="236"/>
      <c r="F25" s="236"/>
      <c r="G25" s="236"/>
      <c r="H25" s="236"/>
      <c r="I25" s="236"/>
      <c r="J25" s="236"/>
      <c r="K25" s="236"/>
      <c r="L25" s="236"/>
      <c r="M25" s="236"/>
    </row>
    <row r="26" spans="2:13" ht="21" x14ac:dyDescent="0.5">
      <c r="B26" s="152" t="s">
        <v>159</v>
      </c>
      <c r="C26" s="151"/>
      <c r="D26" s="151"/>
      <c r="E26" s="151"/>
      <c r="F26" s="151"/>
      <c r="G26" s="151"/>
      <c r="H26" s="151"/>
      <c r="I26" s="151"/>
      <c r="J26" s="151"/>
      <c r="K26" s="151"/>
      <c r="L26" s="151"/>
      <c r="M26" s="151"/>
    </row>
    <row r="28" spans="2:13" ht="14.5" customHeight="1" x14ac:dyDescent="0.35">
      <c r="B28" s="234" t="s">
        <v>161</v>
      </c>
      <c r="C28" s="234"/>
      <c r="D28" s="234"/>
      <c r="E28" s="234"/>
      <c r="F28" s="234"/>
      <c r="G28" s="234"/>
      <c r="H28" s="234"/>
      <c r="I28" s="234"/>
      <c r="J28" s="234"/>
      <c r="K28" s="234"/>
      <c r="L28" s="234"/>
      <c r="M28" s="234"/>
    </row>
    <row r="29" spans="2:13" ht="15.65" customHeight="1" x14ac:dyDescent="0.35">
      <c r="B29" s="234"/>
      <c r="C29" s="234"/>
      <c r="D29" s="234"/>
      <c r="E29" s="234"/>
      <c r="F29" s="234"/>
      <c r="G29" s="234"/>
      <c r="H29" s="234"/>
      <c r="I29" s="234"/>
      <c r="J29" s="234"/>
      <c r="K29" s="234"/>
      <c r="L29" s="234"/>
      <c r="M29" s="234"/>
    </row>
    <row r="30" spans="2:13" ht="15.65" customHeight="1" x14ac:dyDescent="0.35">
      <c r="B30" s="234"/>
      <c r="C30" s="234"/>
      <c r="D30" s="234"/>
      <c r="E30" s="234"/>
      <c r="F30" s="234"/>
      <c r="G30" s="234"/>
      <c r="H30" s="234"/>
      <c r="I30" s="234"/>
      <c r="J30" s="234"/>
      <c r="K30" s="234"/>
      <c r="L30" s="234"/>
      <c r="M30" s="234"/>
    </row>
    <row r="31" spans="2:13" ht="15.65" customHeight="1" x14ac:dyDescent="0.35">
      <c r="B31" s="17"/>
      <c r="C31" s="17"/>
      <c r="D31" s="17"/>
      <c r="E31" s="17"/>
      <c r="F31" s="17"/>
      <c r="G31" s="17"/>
      <c r="H31" s="17"/>
      <c r="I31" s="17"/>
      <c r="J31" s="17"/>
      <c r="K31" s="17"/>
      <c r="L31" s="17"/>
      <c r="M31" s="17"/>
    </row>
    <row r="32" spans="2:13" ht="21" x14ac:dyDescent="0.5">
      <c r="B32" s="144" t="s">
        <v>162</v>
      </c>
    </row>
    <row r="34" spans="2:13" ht="15.65" customHeight="1" x14ac:dyDescent="0.35">
      <c r="B34" s="233" t="s">
        <v>163</v>
      </c>
      <c r="C34" s="233"/>
      <c r="D34" s="233"/>
      <c r="E34" s="233"/>
      <c r="F34" s="233"/>
      <c r="G34" s="233"/>
      <c r="H34" s="233"/>
      <c r="I34" s="233"/>
      <c r="J34" s="233"/>
      <c r="K34" s="233"/>
      <c r="L34" s="233"/>
      <c r="M34" s="233"/>
    </row>
    <row r="35" spans="2:13" x14ac:dyDescent="0.35">
      <c r="B35" s="233"/>
      <c r="C35" s="233"/>
      <c r="D35" s="233"/>
      <c r="E35" s="233"/>
      <c r="F35" s="233"/>
      <c r="G35" s="233"/>
      <c r="H35" s="233"/>
      <c r="I35" s="233"/>
      <c r="J35" s="233"/>
      <c r="K35" s="233"/>
      <c r="L35" s="233"/>
      <c r="M35" s="233"/>
    </row>
    <row r="36" spans="2:13" x14ac:dyDescent="0.35">
      <c r="B36" s="233"/>
      <c r="C36" s="233"/>
      <c r="D36" s="233"/>
      <c r="E36" s="233"/>
      <c r="F36" s="233"/>
      <c r="G36" s="233"/>
      <c r="H36" s="233"/>
      <c r="I36" s="233"/>
      <c r="J36" s="233"/>
      <c r="K36" s="233"/>
      <c r="L36" s="233"/>
      <c r="M36" s="233"/>
    </row>
    <row r="37" spans="2:13" x14ac:dyDescent="0.35">
      <c r="B37" s="233"/>
      <c r="C37" s="233"/>
      <c r="D37" s="233"/>
      <c r="E37" s="233"/>
      <c r="F37" s="233"/>
      <c r="G37" s="233"/>
      <c r="H37" s="233"/>
      <c r="I37" s="233"/>
      <c r="J37" s="233"/>
      <c r="K37" s="233"/>
      <c r="L37" s="233"/>
      <c r="M37" s="233"/>
    </row>
  </sheetData>
  <mergeCells count="14">
    <mergeCell ref="B1:E1"/>
    <mergeCell ref="E10:E11"/>
    <mergeCell ref="F10:F11"/>
    <mergeCell ref="G10:G11"/>
    <mergeCell ref="C12:D12"/>
    <mergeCell ref="B5:M8"/>
    <mergeCell ref="B34:M37"/>
    <mergeCell ref="B19:M20"/>
    <mergeCell ref="B23:M24"/>
    <mergeCell ref="B28:M30"/>
    <mergeCell ref="C13:D13"/>
    <mergeCell ref="C14:D14"/>
    <mergeCell ref="C15:D15"/>
    <mergeCell ref="B25:M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EE8B2-CF74-40CE-B63A-802B3C307657}">
  <dimension ref="A1:I30"/>
  <sheetViews>
    <sheetView workbookViewId="0">
      <selection activeCell="I25" sqref="I25"/>
    </sheetView>
  </sheetViews>
  <sheetFormatPr defaultRowHeight="14.5" x14ac:dyDescent="0.35"/>
  <cols>
    <col min="1" max="1" width="21.453125" bestFit="1" customWidth="1"/>
    <col min="2" max="2" width="22.81640625" bestFit="1" customWidth="1"/>
    <col min="3" max="4" width="11.453125" bestFit="1" customWidth="1"/>
    <col min="5" max="5" width="20" bestFit="1" customWidth="1"/>
    <col min="6" max="6" width="15.453125" bestFit="1" customWidth="1"/>
    <col min="7" max="7" width="12.453125" bestFit="1" customWidth="1"/>
    <col min="8" max="8" width="11.453125" bestFit="1" customWidth="1"/>
    <col min="9" max="9" width="12.453125" bestFit="1" customWidth="1"/>
  </cols>
  <sheetData>
    <row r="1" spans="1:9" x14ac:dyDescent="0.35">
      <c r="A1" s="251" t="s">
        <v>75</v>
      </c>
      <c r="B1" s="252"/>
      <c r="C1" s="252"/>
      <c r="D1" s="252"/>
      <c r="E1" s="252"/>
      <c r="F1" s="252"/>
      <c r="G1" s="252"/>
      <c r="H1" s="252"/>
      <c r="I1" s="253"/>
    </row>
    <row r="2" spans="1:9" x14ac:dyDescent="0.35">
      <c r="A2" s="254"/>
      <c r="B2" s="255"/>
      <c r="C2" s="255"/>
      <c r="D2" s="255"/>
      <c r="E2" s="255"/>
      <c r="F2" s="255"/>
      <c r="G2" s="255"/>
      <c r="H2" s="255"/>
      <c r="I2" s="256"/>
    </row>
    <row r="3" spans="1:9" ht="15" thickBot="1" x14ac:dyDescent="0.4">
      <c r="A3" s="28" t="s">
        <v>76</v>
      </c>
      <c r="B3" s="29" t="s">
        <v>77</v>
      </c>
      <c r="C3" s="30" t="s">
        <v>78</v>
      </c>
      <c r="D3" s="30" t="s">
        <v>79</v>
      </c>
      <c r="E3" s="30" t="s">
        <v>80</v>
      </c>
      <c r="F3" s="30" t="s">
        <v>81</v>
      </c>
      <c r="G3" s="30" t="s">
        <v>82</v>
      </c>
      <c r="H3" s="30" t="s">
        <v>83</v>
      </c>
      <c r="I3" s="31" t="s">
        <v>5</v>
      </c>
    </row>
    <row r="4" spans="1:9" x14ac:dyDescent="0.35">
      <c r="A4" s="257" t="s">
        <v>84</v>
      </c>
      <c r="B4" s="32" t="s">
        <v>85</v>
      </c>
      <c r="C4" s="65">
        <v>605000</v>
      </c>
      <c r="D4" s="33">
        <v>330000</v>
      </c>
      <c r="E4" s="33"/>
      <c r="F4" s="33"/>
      <c r="G4" s="33"/>
      <c r="H4" s="33"/>
      <c r="I4" s="34">
        <f t="shared" ref="I4" si="0">SUM(C4:H4)</f>
        <v>935000</v>
      </c>
    </row>
    <row r="5" spans="1:9" x14ac:dyDescent="0.35">
      <c r="A5" s="258"/>
      <c r="B5" s="35" t="s">
        <v>86</v>
      </c>
      <c r="C5" s="37"/>
      <c r="D5" s="37"/>
      <c r="E5" s="37"/>
      <c r="F5" s="36"/>
      <c r="G5" s="36"/>
      <c r="H5" s="36">
        <v>400000</v>
      </c>
      <c r="I5" s="38">
        <v>400000</v>
      </c>
    </row>
    <row r="6" spans="1:9" x14ac:dyDescent="0.35">
      <c r="A6" s="258"/>
      <c r="B6" s="39" t="s">
        <v>87</v>
      </c>
      <c r="C6" s="41"/>
      <c r="D6" s="41"/>
      <c r="E6" s="41"/>
      <c r="F6" s="40"/>
      <c r="G6" s="40"/>
      <c r="H6" s="40">
        <v>65000</v>
      </c>
      <c r="I6" s="42">
        <v>65000</v>
      </c>
    </row>
    <row r="7" spans="1:9" x14ac:dyDescent="0.35">
      <c r="A7" s="258"/>
      <c r="B7" s="39" t="s">
        <v>88</v>
      </c>
      <c r="C7" s="41">
        <v>495000</v>
      </c>
      <c r="D7" s="41">
        <v>180000</v>
      </c>
      <c r="E7" s="41">
        <v>720000</v>
      </c>
      <c r="F7" s="40"/>
      <c r="G7" s="40">
        <v>718232</v>
      </c>
      <c r="H7" s="40"/>
      <c r="I7" s="42">
        <f>SUM(C7:H7)</f>
        <v>2113232</v>
      </c>
    </row>
    <row r="8" spans="1:9" x14ac:dyDescent="0.35">
      <c r="A8" s="258"/>
      <c r="B8" s="43" t="s">
        <v>89</v>
      </c>
      <c r="C8" s="45">
        <v>165000</v>
      </c>
      <c r="D8" s="45">
        <v>270000</v>
      </c>
      <c r="E8" s="45"/>
      <c r="F8" s="44">
        <v>726000</v>
      </c>
      <c r="G8" s="44">
        <f>195000+3274000</f>
        <v>3469000</v>
      </c>
      <c r="H8" s="44"/>
      <c r="I8" s="46">
        <f t="shared" ref="I8" si="1">SUM(C8:H8)</f>
        <v>4630000</v>
      </c>
    </row>
    <row r="9" spans="1:9" ht="15" thickBot="1" x14ac:dyDescent="0.4">
      <c r="A9" s="259"/>
      <c r="B9" s="47" t="s">
        <v>90</v>
      </c>
      <c r="C9" s="48">
        <v>594000</v>
      </c>
      <c r="D9" s="48">
        <v>127500</v>
      </c>
      <c r="E9" s="48">
        <v>264000</v>
      </c>
      <c r="F9" s="48"/>
      <c r="G9" s="48">
        <v>478821</v>
      </c>
      <c r="H9" s="48"/>
      <c r="I9" s="49">
        <f>SUM(C9:H9)</f>
        <v>1464321</v>
      </c>
    </row>
    <row r="10" spans="1:9" x14ac:dyDescent="0.35">
      <c r="A10" s="260" t="s">
        <v>91</v>
      </c>
      <c r="B10" s="32" t="s">
        <v>92</v>
      </c>
      <c r="C10" s="65">
        <v>123750</v>
      </c>
      <c r="D10" s="65"/>
      <c r="E10" s="33"/>
      <c r="F10" s="33">
        <v>1380000</v>
      </c>
      <c r="G10" s="33">
        <f>1200000+1750000</f>
        <v>2950000</v>
      </c>
      <c r="H10" s="33"/>
      <c r="I10" s="34">
        <f t="shared" ref="I10" si="2">SUM(C10:H10)</f>
        <v>4453750</v>
      </c>
    </row>
    <row r="11" spans="1:9" x14ac:dyDescent="0.35">
      <c r="A11" s="261"/>
      <c r="B11" s="39" t="s">
        <v>93</v>
      </c>
      <c r="C11" s="41">
        <v>495000</v>
      </c>
      <c r="D11" s="41">
        <v>180000</v>
      </c>
      <c r="E11" s="41">
        <v>1200000</v>
      </c>
      <c r="F11" s="40"/>
      <c r="G11" s="40">
        <v>1197053</v>
      </c>
      <c r="H11" s="40"/>
      <c r="I11" s="42">
        <f t="shared" ref="I11" si="3">SUM(C11:H11)</f>
        <v>3072053</v>
      </c>
    </row>
    <row r="12" spans="1:9" ht="15" thickBot="1" x14ac:dyDescent="0.4">
      <c r="A12" s="262"/>
      <c r="B12" s="47" t="s">
        <v>94</v>
      </c>
      <c r="C12" s="48">
        <v>495000</v>
      </c>
      <c r="D12" s="48">
        <v>240000</v>
      </c>
      <c r="E12" s="48">
        <v>792000</v>
      </c>
      <c r="F12" s="50"/>
      <c r="G12" s="50">
        <v>790055</v>
      </c>
      <c r="H12" s="50"/>
      <c r="I12" s="51">
        <f>SUM(C12:H12)</f>
        <v>2317055</v>
      </c>
    </row>
    <row r="13" spans="1:9" x14ac:dyDescent="0.35">
      <c r="A13" s="263" t="s">
        <v>95</v>
      </c>
      <c r="B13" s="32" t="s">
        <v>96</v>
      </c>
      <c r="C13" s="65"/>
      <c r="D13" s="65"/>
      <c r="E13" s="33"/>
      <c r="F13" s="33"/>
      <c r="G13" s="33"/>
      <c r="H13" s="33">
        <v>200000</v>
      </c>
      <c r="I13" s="52">
        <f t="shared" ref="I13:I16" si="4">SUM(C13:H13)</f>
        <v>200000</v>
      </c>
    </row>
    <row r="14" spans="1:9" x14ac:dyDescent="0.35">
      <c r="A14" s="264"/>
      <c r="B14" s="43" t="s">
        <v>97</v>
      </c>
      <c r="C14" s="45"/>
      <c r="D14" s="45"/>
      <c r="E14" s="44"/>
      <c r="F14" s="44"/>
      <c r="G14" s="44"/>
      <c r="H14" s="44">
        <v>80000</v>
      </c>
      <c r="I14" s="53">
        <f t="shared" si="4"/>
        <v>80000</v>
      </c>
    </row>
    <row r="15" spans="1:9" x14ac:dyDescent="0.35">
      <c r="A15" s="264"/>
      <c r="B15" s="43" t="s">
        <v>107</v>
      </c>
      <c r="C15" s="45"/>
      <c r="D15" s="45"/>
      <c r="E15" s="44"/>
      <c r="F15" s="44"/>
      <c r="G15" s="44"/>
      <c r="H15" s="44">
        <v>210000</v>
      </c>
      <c r="I15" s="53">
        <f t="shared" si="4"/>
        <v>210000</v>
      </c>
    </row>
    <row r="16" spans="1:9" x14ac:dyDescent="0.35">
      <c r="A16" s="264"/>
      <c r="B16" s="43" t="s">
        <v>98</v>
      </c>
      <c r="C16" s="45">
        <v>330000</v>
      </c>
      <c r="D16" s="45">
        <v>180000</v>
      </c>
      <c r="E16" s="45"/>
      <c r="F16" s="45">
        <v>600000</v>
      </c>
      <c r="G16" s="45">
        <v>1197053</v>
      </c>
      <c r="H16" s="44"/>
      <c r="I16" s="53">
        <f t="shared" si="4"/>
        <v>2307053</v>
      </c>
    </row>
    <row r="17" spans="1:9" x14ac:dyDescent="0.35">
      <c r="A17" s="264"/>
      <c r="B17" s="43" t="s">
        <v>99</v>
      </c>
      <c r="C17" s="45">
        <v>495000</v>
      </c>
      <c r="D17" s="45">
        <v>180000</v>
      </c>
      <c r="E17" s="45">
        <f>288000+288000</f>
        <v>576000</v>
      </c>
      <c r="F17" s="45"/>
      <c r="G17" s="45">
        <f>287293*2</f>
        <v>574586</v>
      </c>
      <c r="H17" s="44"/>
      <c r="I17" s="53">
        <f t="shared" ref="I17" si="5">SUM(C17:H17)</f>
        <v>1825586</v>
      </c>
    </row>
    <row r="18" spans="1:9" ht="15" thickBot="1" x14ac:dyDescent="0.4">
      <c r="A18" s="265"/>
      <c r="B18" s="47" t="s">
        <v>100</v>
      </c>
      <c r="C18" s="48">
        <v>330000</v>
      </c>
      <c r="D18" s="48"/>
      <c r="E18" s="48">
        <v>792000</v>
      </c>
      <c r="F18" s="50"/>
      <c r="G18" s="50">
        <v>790055</v>
      </c>
      <c r="H18" s="50"/>
      <c r="I18" s="51">
        <f t="shared" ref="I18:I19" si="6">SUM(C18:H18)</f>
        <v>1912055</v>
      </c>
    </row>
    <row r="19" spans="1:9" x14ac:dyDescent="0.35">
      <c r="A19" s="266" t="s">
        <v>101</v>
      </c>
      <c r="B19" s="54" t="s">
        <v>102</v>
      </c>
      <c r="C19" s="56">
        <v>330000</v>
      </c>
      <c r="D19" s="55"/>
      <c r="E19" s="56">
        <v>756000</v>
      </c>
      <c r="F19" s="55"/>
      <c r="G19" s="55">
        <v>754143</v>
      </c>
      <c r="H19" s="55"/>
      <c r="I19" s="57">
        <f t="shared" si="6"/>
        <v>1840143</v>
      </c>
    </row>
    <row r="20" spans="1:9" ht="15" thickBot="1" x14ac:dyDescent="0.4">
      <c r="A20" s="267"/>
      <c r="B20" s="58" t="s">
        <v>103</v>
      </c>
      <c r="C20" s="66">
        <f>440000+198000</f>
        <v>638000</v>
      </c>
      <c r="D20" s="59"/>
      <c r="E20" s="59"/>
      <c r="F20" s="59"/>
      <c r="G20" s="59"/>
      <c r="H20" s="59"/>
      <c r="I20" s="49">
        <f>SUM(C20:H20)</f>
        <v>638000</v>
      </c>
    </row>
    <row r="21" spans="1:9" x14ac:dyDescent="0.35">
      <c r="A21" s="249" t="s">
        <v>108</v>
      </c>
      <c r="B21" s="250"/>
      <c r="C21" s="60">
        <f>SUM(C4:C20)*0.1</f>
        <v>509575</v>
      </c>
      <c r="D21" s="60"/>
      <c r="E21" s="60"/>
      <c r="F21" s="61"/>
      <c r="G21" s="61"/>
      <c r="H21" s="61"/>
      <c r="I21" s="62">
        <f>SUM(C21:H21)</f>
        <v>509575</v>
      </c>
    </row>
    <row r="22" spans="1:9" x14ac:dyDescent="0.35">
      <c r="A22" s="244" t="s">
        <v>109</v>
      </c>
      <c r="B22" s="245"/>
      <c r="C22" s="67">
        <f t="shared" ref="C22:H22" si="7">SUM(C4:C20)*0.15</f>
        <v>764362.5</v>
      </c>
      <c r="D22" s="67">
        <f t="shared" si="7"/>
        <v>253125</v>
      </c>
      <c r="E22" s="67">
        <f t="shared" si="7"/>
        <v>765000</v>
      </c>
      <c r="F22" s="67">
        <f t="shared" si="7"/>
        <v>405900</v>
      </c>
      <c r="G22" s="67">
        <f t="shared" si="7"/>
        <v>1937849.7</v>
      </c>
      <c r="H22" s="67">
        <f t="shared" si="7"/>
        <v>143250</v>
      </c>
      <c r="I22" s="62">
        <f>SUM(C22:H22)</f>
        <v>4269487.2</v>
      </c>
    </row>
    <row r="23" spans="1:9" x14ac:dyDescent="0.35">
      <c r="A23" s="244" t="s">
        <v>110</v>
      </c>
      <c r="B23" s="245"/>
      <c r="C23" s="68">
        <f t="shared" ref="C23:H23" si="8">SUM(C4:C20)*0.1</f>
        <v>509575</v>
      </c>
      <c r="D23" s="67">
        <f t="shared" si="8"/>
        <v>168750</v>
      </c>
      <c r="E23" s="67">
        <f t="shared" si="8"/>
        <v>510000</v>
      </c>
      <c r="F23" s="67">
        <f t="shared" si="8"/>
        <v>270600</v>
      </c>
      <c r="G23" s="67">
        <f t="shared" si="8"/>
        <v>1291899.8</v>
      </c>
      <c r="H23" s="67">
        <f t="shared" si="8"/>
        <v>95500</v>
      </c>
      <c r="I23" s="62">
        <f>SUM(C23:H23)</f>
        <v>2846324.8</v>
      </c>
    </row>
    <row r="24" spans="1:9" ht="15" thickBot="1" x14ac:dyDescent="0.4">
      <c r="A24" s="246" t="s">
        <v>111</v>
      </c>
      <c r="B24" s="247"/>
      <c r="C24" s="59">
        <f>SUM(C4:C20)*0.15</f>
        <v>764362.5</v>
      </c>
      <c r="D24" s="59">
        <f>SUM(D4:D20)*0.15</f>
        <v>253125</v>
      </c>
      <c r="E24" s="59">
        <f>SUM(E4:E20)*0.15</f>
        <v>765000</v>
      </c>
      <c r="F24" s="59">
        <f>SUM(F4:F20)*0.15</f>
        <v>405900</v>
      </c>
      <c r="G24" s="59">
        <f>SUM(G4:G20) *0.15</f>
        <v>1937849.7</v>
      </c>
      <c r="H24" s="59">
        <f>SUM(H4:H20)*0.15</f>
        <v>143250</v>
      </c>
      <c r="I24" s="63">
        <f>SUM(C24:H24)</f>
        <v>4269487.2</v>
      </c>
    </row>
    <row r="25" spans="1:9" ht="15" thickBot="1" x14ac:dyDescent="0.4">
      <c r="A25" s="248" t="s">
        <v>104</v>
      </c>
      <c r="B25" s="248"/>
      <c r="C25" s="64">
        <f t="shared" ref="C25:H25" si="9">SUM(C4:C24)</f>
        <v>7643625</v>
      </c>
      <c r="D25" s="64">
        <f t="shared" si="9"/>
        <v>2362500</v>
      </c>
      <c r="E25" s="64">
        <f>SUM(E4:E24)</f>
        <v>7140000</v>
      </c>
      <c r="F25" s="64">
        <f>SUM(F4:F24)</f>
        <v>3788400</v>
      </c>
      <c r="G25" s="64">
        <f t="shared" si="9"/>
        <v>18086597.199999999</v>
      </c>
      <c r="H25" s="64">
        <f t="shared" si="9"/>
        <v>1337000</v>
      </c>
      <c r="I25" s="64">
        <f>SUM(I4:I24)</f>
        <v>40358122.200000003</v>
      </c>
    </row>
    <row r="26" spans="1:9" ht="15" thickTop="1" x14ac:dyDescent="0.35">
      <c r="B26" s="27"/>
    </row>
    <row r="27" spans="1:9" x14ac:dyDescent="0.35">
      <c r="B27" s="27"/>
    </row>
    <row r="28" spans="1:9" x14ac:dyDescent="0.35">
      <c r="B28" s="27"/>
    </row>
    <row r="29" spans="1:9" x14ac:dyDescent="0.35">
      <c r="B29" s="27"/>
    </row>
    <row r="30" spans="1:9" x14ac:dyDescent="0.35">
      <c r="B30" s="27"/>
    </row>
  </sheetData>
  <mergeCells count="10">
    <mergeCell ref="A1:I2"/>
    <mergeCell ref="A4:A9"/>
    <mergeCell ref="A10:A12"/>
    <mergeCell ref="A13:A18"/>
    <mergeCell ref="A19:A20"/>
    <mergeCell ref="A23:B23"/>
    <mergeCell ref="A24:B24"/>
    <mergeCell ref="A25:B25"/>
    <mergeCell ref="A21:B21"/>
    <mergeCell ref="A22:B2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A3B9F-14ED-4437-BFBA-98FFDB0AD8C6}">
  <dimension ref="A35"/>
  <sheetViews>
    <sheetView tabSelected="1" workbookViewId="0">
      <selection activeCell="Q32" sqref="Q32"/>
    </sheetView>
  </sheetViews>
  <sheetFormatPr defaultRowHeight="14.5" x14ac:dyDescent="0.35"/>
  <sheetData>
    <row r="35" spans="1:1" x14ac:dyDescent="0.35">
      <c r="A35" t="s">
        <v>164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456F6-B278-4B5F-B087-CE7951E76ABB}">
  <dimension ref="A1:AH17"/>
  <sheetViews>
    <sheetView topLeftCell="A4" zoomScaleNormal="100" workbookViewId="0">
      <selection activeCell="B3" sqref="B3"/>
    </sheetView>
  </sheetViews>
  <sheetFormatPr defaultRowHeight="14.5" x14ac:dyDescent="0.35"/>
  <cols>
    <col min="1" max="1" width="22.81640625" customWidth="1"/>
    <col min="2" max="2" width="18.453125" bestFit="1" customWidth="1"/>
    <col min="3" max="3" width="10.81640625" bestFit="1" customWidth="1"/>
    <col min="4" max="4" width="9.1796875" bestFit="1" customWidth="1"/>
    <col min="5" max="6" width="13.81640625" bestFit="1" customWidth="1"/>
    <col min="7" max="14" width="18.1796875" bestFit="1" customWidth="1"/>
    <col min="15" max="32" width="14.81640625" bestFit="1" customWidth="1"/>
    <col min="33" max="34" width="13.453125" bestFit="1" customWidth="1"/>
  </cols>
  <sheetData>
    <row r="1" spans="1:34" ht="18.5" x14ac:dyDescent="0.45">
      <c r="A1" s="155" t="s">
        <v>0</v>
      </c>
      <c r="B1" s="155"/>
    </row>
    <row r="2" spans="1:34" ht="18.5" x14ac:dyDescent="0.45">
      <c r="A2" s="79" t="s">
        <v>165</v>
      </c>
      <c r="B2" s="80">
        <v>40358122</v>
      </c>
    </row>
    <row r="3" spans="1:34" ht="18.5" x14ac:dyDescent="0.45">
      <c r="A3" s="79" t="s">
        <v>166</v>
      </c>
      <c r="B3" s="81">
        <f>(B2*0.01)/20</f>
        <v>20179.061000000002</v>
      </c>
    </row>
    <row r="6" spans="1:34" ht="23.5" x14ac:dyDescent="0.55000000000000004">
      <c r="A6" s="3" t="s">
        <v>0</v>
      </c>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row>
    <row r="7" spans="1:34" ht="18.5" x14ac:dyDescent="0.45">
      <c r="A7" s="79" t="s">
        <v>1</v>
      </c>
      <c r="B7" s="79">
        <v>2020</v>
      </c>
      <c r="C7" s="79">
        <v>2021</v>
      </c>
      <c r="D7" s="79">
        <v>2022</v>
      </c>
      <c r="E7" s="79">
        <v>2023</v>
      </c>
      <c r="F7" s="79">
        <v>2024</v>
      </c>
      <c r="G7" s="79">
        <v>2025</v>
      </c>
      <c r="H7" s="79">
        <v>2026</v>
      </c>
      <c r="I7" s="79">
        <v>2027</v>
      </c>
      <c r="J7" s="79">
        <v>2028</v>
      </c>
      <c r="K7" s="79">
        <v>2029</v>
      </c>
      <c r="L7" s="79">
        <v>2030</v>
      </c>
      <c r="M7" s="79">
        <v>2031</v>
      </c>
      <c r="N7" s="79">
        <v>2032</v>
      </c>
      <c r="O7" s="79">
        <v>2033</v>
      </c>
      <c r="P7" s="79">
        <v>2034</v>
      </c>
      <c r="Q7" s="79">
        <v>2035</v>
      </c>
      <c r="R7" s="79">
        <v>2036</v>
      </c>
      <c r="S7" s="79">
        <v>2037</v>
      </c>
      <c r="T7" s="79">
        <v>2038</v>
      </c>
      <c r="U7" s="79">
        <v>2039</v>
      </c>
      <c r="V7" s="79">
        <v>2040</v>
      </c>
      <c r="W7" s="79">
        <v>2041</v>
      </c>
      <c r="X7" s="79">
        <v>2042</v>
      </c>
      <c r="Y7" s="79">
        <v>2043</v>
      </c>
      <c r="Z7" s="79">
        <v>2044</v>
      </c>
      <c r="AA7" s="79">
        <v>2045</v>
      </c>
      <c r="AB7" s="79">
        <v>2046</v>
      </c>
      <c r="AC7" s="79">
        <v>2047</v>
      </c>
      <c r="AD7" s="79">
        <v>2048</v>
      </c>
      <c r="AE7" s="79">
        <v>2049</v>
      </c>
      <c r="AF7" s="79">
        <v>2050</v>
      </c>
    </row>
    <row r="8" spans="1:34" ht="18.5" x14ac:dyDescent="0.45">
      <c r="A8" s="79" t="s">
        <v>2</v>
      </c>
      <c r="B8" s="79">
        <v>0</v>
      </c>
      <c r="C8" s="79">
        <v>0</v>
      </c>
      <c r="D8" s="79">
        <v>0</v>
      </c>
      <c r="E8" s="79">
        <v>0</v>
      </c>
      <c r="F8" s="79">
        <v>0</v>
      </c>
      <c r="G8" s="81">
        <f>$B$2/5</f>
        <v>8071624.4000000004</v>
      </c>
      <c r="H8" s="81">
        <f t="shared" ref="H8:L8" si="0">$B$2/5</f>
        <v>8071624.4000000004</v>
      </c>
      <c r="I8" s="81">
        <f t="shared" si="0"/>
        <v>8071624.4000000004</v>
      </c>
      <c r="J8" s="81">
        <f t="shared" si="0"/>
        <v>8071624.4000000004</v>
      </c>
      <c r="K8" s="81">
        <f t="shared" si="0"/>
        <v>8071624.4000000004</v>
      </c>
      <c r="L8" s="81">
        <f t="shared" si="0"/>
        <v>8071624.4000000004</v>
      </c>
      <c r="M8" s="80">
        <v>0</v>
      </c>
      <c r="N8" s="80">
        <v>0</v>
      </c>
      <c r="O8" s="80">
        <v>0</v>
      </c>
      <c r="P8" s="80">
        <v>0</v>
      </c>
      <c r="Q8" s="80">
        <v>0</v>
      </c>
      <c r="R8" s="80">
        <v>0</v>
      </c>
      <c r="S8" s="80">
        <v>0</v>
      </c>
      <c r="T8" s="80">
        <v>0</v>
      </c>
      <c r="U8" s="80">
        <v>0</v>
      </c>
      <c r="V8" s="80">
        <v>0</v>
      </c>
      <c r="W8" s="80">
        <v>0</v>
      </c>
      <c r="X8" s="80">
        <v>0</v>
      </c>
      <c r="Y8" s="80">
        <v>0</v>
      </c>
      <c r="Z8" s="80">
        <v>0</v>
      </c>
      <c r="AA8" s="80">
        <v>0</v>
      </c>
      <c r="AB8" s="80">
        <v>0</v>
      </c>
      <c r="AC8" s="80">
        <v>0</v>
      </c>
      <c r="AD8" s="80">
        <v>0</v>
      </c>
      <c r="AE8" s="80">
        <v>0</v>
      </c>
      <c r="AF8" s="80">
        <v>0</v>
      </c>
    </row>
    <row r="9" spans="1:34" ht="18.5" x14ac:dyDescent="0.45">
      <c r="A9" s="79" t="s">
        <v>3</v>
      </c>
      <c r="B9" s="79">
        <v>0</v>
      </c>
      <c r="C9" s="79">
        <v>0</v>
      </c>
      <c r="D9" s="79">
        <v>0</v>
      </c>
      <c r="E9" s="79">
        <v>0</v>
      </c>
      <c r="F9" s="79">
        <v>0</v>
      </c>
      <c r="G9" s="79">
        <v>0</v>
      </c>
      <c r="H9" s="79">
        <v>0</v>
      </c>
      <c r="I9" s="79">
        <v>0</v>
      </c>
      <c r="J9" s="79">
        <v>0</v>
      </c>
      <c r="K9" s="79">
        <v>0</v>
      </c>
      <c r="L9" s="79">
        <v>0</v>
      </c>
      <c r="M9" s="81">
        <v>20179.061000000002</v>
      </c>
      <c r="N9" s="81">
        <v>20179.061000000002</v>
      </c>
      <c r="O9" s="81">
        <v>20179.061000000002</v>
      </c>
      <c r="P9" s="81">
        <v>20179.061000000002</v>
      </c>
      <c r="Q9" s="81">
        <v>20179.061000000002</v>
      </c>
      <c r="R9" s="81">
        <v>20179.061000000002</v>
      </c>
      <c r="S9" s="81">
        <v>20179.061000000002</v>
      </c>
      <c r="T9" s="81">
        <v>20179.061000000002</v>
      </c>
      <c r="U9" s="81">
        <v>20179.061000000002</v>
      </c>
      <c r="V9" s="81">
        <v>20179.061000000002</v>
      </c>
      <c r="W9" s="81">
        <v>20179.061000000002</v>
      </c>
      <c r="X9" s="81">
        <v>20179.061000000002</v>
      </c>
      <c r="Y9" s="81">
        <v>20179.061000000002</v>
      </c>
      <c r="Z9" s="81">
        <v>20179.061000000002</v>
      </c>
      <c r="AA9" s="81">
        <v>20179.061000000002</v>
      </c>
      <c r="AB9" s="81">
        <v>20179.061000000002</v>
      </c>
      <c r="AC9" s="81">
        <v>20179.061000000002</v>
      </c>
      <c r="AD9" s="81">
        <v>20179.061000000002</v>
      </c>
      <c r="AE9" s="81">
        <v>20179.061000000002</v>
      </c>
      <c r="AF9" s="81">
        <v>20179.061000000002</v>
      </c>
    </row>
    <row r="11" spans="1:34" ht="24" thickBot="1" x14ac:dyDescent="0.6">
      <c r="A11" s="3" t="s">
        <v>4</v>
      </c>
    </row>
    <row r="12" spans="1:34" ht="18.5" x14ac:dyDescent="0.45">
      <c r="A12" s="90" t="s">
        <v>5</v>
      </c>
      <c r="B12" s="91" t="s">
        <v>6</v>
      </c>
      <c r="C12" s="89" t="s">
        <v>1</v>
      </c>
      <c r="D12" s="79">
        <v>2020</v>
      </c>
      <c r="E12" s="79">
        <v>2021</v>
      </c>
      <c r="F12" s="79">
        <v>2022</v>
      </c>
      <c r="G12" s="79">
        <v>2023</v>
      </c>
      <c r="H12" s="79">
        <v>2024</v>
      </c>
      <c r="I12" s="79">
        <v>2025</v>
      </c>
      <c r="J12" s="79">
        <v>2026</v>
      </c>
      <c r="K12" s="79">
        <v>2027</v>
      </c>
      <c r="L12" s="79">
        <v>2028</v>
      </c>
      <c r="M12" s="79">
        <v>2029</v>
      </c>
      <c r="N12" s="79">
        <v>2030</v>
      </c>
      <c r="O12" s="79">
        <v>2031</v>
      </c>
      <c r="P12" s="79">
        <v>2032</v>
      </c>
      <c r="Q12" s="79">
        <v>2033</v>
      </c>
      <c r="R12" s="79">
        <v>2034</v>
      </c>
      <c r="S12" s="79">
        <v>2035</v>
      </c>
      <c r="T12" s="79">
        <v>2036</v>
      </c>
      <c r="U12" s="79">
        <v>2037</v>
      </c>
      <c r="V12" s="79">
        <v>2038</v>
      </c>
      <c r="W12" s="79">
        <v>2039</v>
      </c>
      <c r="X12" s="79">
        <v>2040</v>
      </c>
      <c r="Y12" s="79">
        <v>2041</v>
      </c>
      <c r="Z12" s="79">
        <v>2042</v>
      </c>
      <c r="AA12" s="79">
        <v>2043</v>
      </c>
      <c r="AB12" s="79">
        <v>2044</v>
      </c>
      <c r="AC12" s="79">
        <v>2045</v>
      </c>
      <c r="AD12" s="79">
        <v>2046</v>
      </c>
      <c r="AE12" s="79">
        <v>2047</v>
      </c>
      <c r="AF12" s="79">
        <v>2048</v>
      </c>
      <c r="AG12" s="79">
        <v>2049</v>
      </c>
      <c r="AH12" s="79">
        <v>2050</v>
      </c>
    </row>
    <row r="13" spans="1:34" ht="18.5" x14ac:dyDescent="0.45">
      <c r="A13" s="158">
        <f>SUM(I13:AH14)</f>
        <v>29460088.634192832</v>
      </c>
      <c r="B13" s="156">
        <v>7.0000000000000007E-2</v>
      </c>
      <c r="C13" s="89" t="s">
        <v>7</v>
      </c>
      <c r="D13" s="79">
        <v>0</v>
      </c>
      <c r="E13" s="79">
        <v>0</v>
      </c>
      <c r="F13" s="79">
        <v>0</v>
      </c>
      <c r="G13" s="79">
        <v>0</v>
      </c>
      <c r="H13" s="79">
        <v>0</v>
      </c>
      <c r="I13" s="81">
        <f t="shared" ref="I13" si="1">G8*(1+$B$13)^-(I12-2020)</f>
        <v>5754956.6431831578</v>
      </c>
      <c r="J13" s="81">
        <f t="shared" ref="J13" si="2">H8*(1+$B$13)^-(J12-2020)</f>
        <v>5378464.1525076237</v>
      </c>
      <c r="K13" s="81">
        <f t="shared" ref="K13" si="3">I8*(1+$B$13)^-(K12-2020)</f>
        <v>5026602.0116893677</v>
      </c>
      <c r="L13" s="81">
        <f t="shared" ref="L13" si="4">J8*(1+$B$13)^-(L12-2020)</f>
        <v>4697758.8894293159</v>
      </c>
      <c r="M13" s="81">
        <f t="shared" ref="M13" si="5">K8*(1+$B$13)^-(M12-2020)</f>
        <v>4390428.8686255291</v>
      </c>
      <c r="N13" s="81">
        <f t="shared" ref="N13" si="6">L8*(1+$B$13)^-(N12-2020)</f>
        <v>4103204.5501173167</v>
      </c>
      <c r="O13" s="79">
        <v>0</v>
      </c>
      <c r="P13" s="79">
        <v>0</v>
      </c>
      <c r="Q13" s="79">
        <v>0</v>
      </c>
      <c r="R13" s="79">
        <v>0</v>
      </c>
      <c r="S13" s="79">
        <v>0</v>
      </c>
      <c r="T13" s="79">
        <v>0</v>
      </c>
      <c r="U13" s="79">
        <v>0</v>
      </c>
      <c r="V13" s="79">
        <v>0</v>
      </c>
      <c r="W13" s="79">
        <v>0</v>
      </c>
      <c r="X13" s="79">
        <v>0</v>
      </c>
      <c r="Y13" s="79">
        <v>0</v>
      </c>
      <c r="Z13" s="79">
        <v>0</v>
      </c>
      <c r="AA13" s="79">
        <v>0</v>
      </c>
      <c r="AB13" s="79">
        <v>0</v>
      </c>
      <c r="AC13" s="79">
        <v>0</v>
      </c>
      <c r="AD13" s="79">
        <v>0</v>
      </c>
      <c r="AE13" s="79">
        <v>0</v>
      </c>
      <c r="AF13" s="79">
        <v>0</v>
      </c>
      <c r="AG13" s="79">
        <v>0</v>
      </c>
      <c r="AH13" s="79">
        <v>0</v>
      </c>
    </row>
    <row r="14" spans="1:34" ht="19" thickBot="1" x14ac:dyDescent="0.5">
      <c r="A14" s="159"/>
      <c r="B14" s="157"/>
      <c r="C14" s="89" t="s">
        <v>8</v>
      </c>
      <c r="D14" s="79">
        <v>0</v>
      </c>
      <c r="E14" s="79">
        <v>0</v>
      </c>
      <c r="F14" s="79">
        <v>0</v>
      </c>
      <c r="G14" s="79">
        <v>0</v>
      </c>
      <c r="H14" s="79">
        <v>0</v>
      </c>
      <c r="I14" s="79">
        <v>0</v>
      </c>
      <c r="J14" s="79">
        <v>0</v>
      </c>
      <c r="K14" s="79">
        <v>0</v>
      </c>
      <c r="L14" s="79">
        <v>0</v>
      </c>
      <c r="M14" s="79">
        <v>0</v>
      </c>
      <c r="N14" s="79">
        <v>0</v>
      </c>
      <c r="O14" s="81">
        <f>M9*(1+$B$13)^-(O12-2020)</f>
        <v>9586.9265189656926</v>
      </c>
      <c r="P14" s="81">
        <f t="shared" ref="P14:AA14" si="7">N9*(1+$B$13)^-(P12-2020)</f>
        <v>8959.7444102483114</v>
      </c>
      <c r="Q14" s="81">
        <f t="shared" si="7"/>
        <v>8373.5929067741217</v>
      </c>
      <c r="R14" s="81">
        <f t="shared" si="7"/>
        <v>7825.7877633403014</v>
      </c>
      <c r="S14" s="81">
        <f t="shared" si="7"/>
        <v>7313.8203395703749</v>
      </c>
      <c r="T14" s="81">
        <f t="shared" si="7"/>
        <v>6835.3461117480147</v>
      </c>
      <c r="U14" s="81">
        <f t="shared" si="7"/>
        <v>6388.1739362130984</v>
      </c>
      <c r="V14" s="81">
        <f t="shared" si="7"/>
        <v>5970.2560151524276</v>
      </c>
      <c r="W14" s="81">
        <f t="shared" si="7"/>
        <v>5579.6785188340446</v>
      </c>
      <c r="X14" s="81">
        <f t="shared" si="7"/>
        <v>5214.6528213402289</v>
      </c>
      <c r="Y14" s="81">
        <f t="shared" si="7"/>
        <v>4873.5073096637652</v>
      </c>
      <c r="Z14" s="81">
        <f t="shared" si="7"/>
        <v>4554.6797286577239</v>
      </c>
      <c r="AA14" s="81">
        <f t="shared" si="7"/>
        <v>4256.7100267829192</v>
      </c>
      <c r="AB14" s="81">
        <f t="shared" ref="AB14" si="8">Z9*(1+$B$13)^-(AB12-2020)</f>
        <v>3978.2336698905792</v>
      </c>
      <c r="AC14" s="81">
        <f t="shared" ref="AC14" si="9">AA9*(1+$B$13)^-(AC12-2020)</f>
        <v>3717.9753924211013</v>
      </c>
      <c r="AD14" s="81">
        <f t="shared" ref="AD14" si="10">AB9*(1+$B$13)^-(AD12-2020)</f>
        <v>3474.7433574028992</v>
      </c>
      <c r="AE14" s="81">
        <f t="shared" ref="AE14" si="11">AC9*(1+$B$13)^-(AE12-2020)</f>
        <v>3247.4236985073817</v>
      </c>
      <c r="AF14" s="81">
        <f t="shared" ref="AF14" si="12">AD9*(1+$B$13)^-(AF12-2020)</f>
        <v>3034.9754191657776</v>
      </c>
      <c r="AG14" s="81">
        <f t="shared" ref="AG14" si="13">AE9*(1+$B$13)^-(AG12-2020)</f>
        <v>2836.4256253885774</v>
      </c>
      <c r="AH14" s="81">
        <f t="shared" ref="AH14" si="14">AF9*(1+$B$13)^-(AH12-2020)</f>
        <v>2650.8650704566144</v>
      </c>
    </row>
    <row r="15" spans="1:34" ht="18.5" x14ac:dyDescent="0.45">
      <c r="A15" s="82"/>
      <c r="B15" s="83"/>
      <c r="C15" s="84"/>
      <c r="D15" s="84"/>
      <c r="E15" s="84"/>
      <c r="F15" s="84"/>
      <c r="G15" s="84"/>
      <c r="H15" s="84"/>
      <c r="I15" s="84"/>
      <c r="J15" s="84"/>
      <c r="K15" s="84"/>
      <c r="L15" s="84"/>
      <c r="M15" s="84"/>
      <c r="N15" s="84"/>
      <c r="O15" s="85"/>
      <c r="P15" s="85"/>
      <c r="Q15" s="85"/>
      <c r="R15" s="85"/>
      <c r="S15" s="85"/>
      <c r="T15" s="85"/>
      <c r="U15" s="85"/>
      <c r="V15" s="85"/>
      <c r="W15" s="85"/>
      <c r="X15" s="85"/>
      <c r="Y15" s="85"/>
      <c r="Z15" s="85"/>
      <c r="AA15" s="85"/>
      <c r="AB15" s="85"/>
      <c r="AC15" s="85"/>
      <c r="AD15" s="85"/>
      <c r="AE15" s="85"/>
      <c r="AF15" s="85"/>
      <c r="AG15" s="85"/>
      <c r="AH15" s="85"/>
    </row>
    <row r="16" spans="1:34" ht="18.5" x14ac:dyDescent="0.45">
      <c r="A16" s="87" t="s">
        <v>72</v>
      </c>
      <c r="B16" s="87" t="s">
        <v>73</v>
      </c>
    </row>
    <row r="17" spans="1:2" ht="18.5" x14ac:dyDescent="0.45">
      <c r="A17" s="86">
        <f>SUM(I13:N13)</f>
        <v>29351415.115552314</v>
      </c>
      <c r="B17" s="86">
        <f>SUM(O14:AH14)</f>
        <v>108673.51864052397</v>
      </c>
    </row>
  </sheetData>
  <mergeCells count="3">
    <mergeCell ref="A1:B1"/>
    <mergeCell ref="B13:B14"/>
    <mergeCell ref="A13:A1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94BB7-8EBF-4DB0-881D-3CB54B6B4CEA}">
  <dimension ref="A2:AG30"/>
  <sheetViews>
    <sheetView workbookViewId="0">
      <selection activeCell="B24" sqref="B24"/>
    </sheetView>
  </sheetViews>
  <sheetFormatPr defaultRowHeight="14.5" x14ac:dyDescent="0.35"/>
  <cols>
    <col min="1" max="1" width="31.1796875" customWidth="1"/>
    <col min="2" max="2" width="25.1796875" customWidth="1"/>
    <col min="3" max="4" width="11.453125" customWidth="1"/>
    <col min="5" max="5" width="12.1796875" customWidth="1"/>
    <col min="8" max="22" width="14.453125" bestFit="1" customWidth="1"/>
    <col min="23" max="33" width="13.1796875" bestFit="1" customWidth="1"/>
  </cols>
  <sheetData>
    <row r="2" spans="1:33" ht="15" thickBot="1" x14ac:dyDescent="0.4"/>
    <row r="3" spans="1:33" ht="22" thickTop="1" thickBot="1" x14ac:dyDescent="0.55000000000000004">
      <c r="A3" s="160" t="s">
        <v>1</v>
      </c>
      <c r="B3" s="161"/>
      <c r="C3" s="160" t="s">
        <v>65</v>
      </c>
      <c r="D3" s="161"/>
      <c r="E3" s="162"/>
    </row>
    <row r="4" spans="1:33" ht="19" thickTop="1" x14ac:dyDescent="0.35">
      <c r="A4" s="163" t="s">
        <v>9</v>
      </c>
      <c r="B4" s="164"/>
      <c r="C4" s="164" t="s">
        <v>66</v>
      </c>
      <c r="D4" s="164"/>
      <c r="E4" s="165"/>
    </row>
    <row r="5" spans="1:33" ht="18.5" x14ac:dyDescent="0.35">
      <c r="A5" s="166" t="s">
        <v>11</v>
      </c>
      <c r="B5" s="167"/>
      <c r="C5" s="167">
        <v>125</v>
      </c>
      <c r="D5" s="167"/>
      <c r="E5" s="168"/>
    </row>
    <row r="6" spans="1:33" ht="18.5" x14ac:dyDescent="0.35">
      <c r="A6" s="166" t="s">
        <v>12</v>
      </c>
      <c r="B6" s="167"/>
      <c r="C6" s="167">
        <v>33</v>
      </c>
      <c r="D6" s="167"/>
      <c r="E6" s="168"/>
    </row>
    <row r="7" spans="1:33" ht="18.5" x14ac:dyDescent="0.35">
      <c r="A7" s="173" t="s">
        <v>13</v>
      </c>
      <c r="B7" s="174"/>
      <c r="C7" s="167">
        <v>7746</v>
      </c>
      <c r="D7" s="167"/>
      <c r="E7" s="168"/>
    </row>
    <row r="8" spans="1:33" ht="18.5" x14ac:dyDescent="0.35">
      <c r="A8" s="166" t="s">
        <v>14</v>
      </c>
      <c r="B8" s="167"/>
      <c r="C8" s="167">
        <v>2097</v>
      </c>
      <c r="D8" s="167"/>
      <c r="E8" s="168"/>
    </row>
    <row r="9" spans="1:33" ht="19" thickBot="1" x14ac:dyDescent="0.4">
      <c r="A9" s="169" t="s">
        <v>15</v>
      </c>
      <c r="B9" s="170"/>
      <c r="C9" s="171">
        <f>A23+A24</f>
        <v>31121301.599999998</v>
      </c>
      <c r="D9" s="171"/>
      <c r="E9" s="172"/>
    </row>
    <row r="10" spans="1:33" ht="15" thickTop="1" x14ac:dyDescent="0.35"/>
    <row r="12" spans="1:33" ht="24" thickBot="1" x14ac:dyDescent="0.6">
      <c r="A12" s="3" t="s">
        <v>16</v>
      </c>
      <c r="B12" s="4"/>
    </row>
    <row r="13" spans="1:33" ht="19.5" thickTop="1" thickBot="1" x14ac:dyDescent="0.5">
      <c r="A13" s="5" t="s">
        <v>17</v>
      </c>
      <c r="B13" s="6" t="s">
        <v>18</v>
      </c>
      <c r="C13" s="7">
        <v>2020</v>
      </c>
      <c r="D13" s="8">
        <v>2021</v>
      </c>
      <c r="E13" s="8">
        <v>2022</v>
      </c>
      <c r="F13" s="8">
        <v>2023</v>
      </c>
      <c r="G13" s="8">
        <v>2024</v>
      </c>
      <c r="H13" s="8">
        <v>2025</v>
      </c>
      <c r="I13" s="8">
        <v>2026</v>
      </c>
      <c r="J13" s="8">
        <v>2027</v>
      </c>
      <c r="K13" s="8">
        <v>2028</v>
      </c>
      <c r="L13" s="8">
        <v>2029</v>
      </c>
      <c r="M13" s="8">
        <v>2030</v>
      </c>
      <c r="N13" s="8">
        <v>2031</v>
      </c>
      <c r="O13" s="8">
        <v>2032</v>
      </c>
      <c r="P13" s="8">
        <v>2033</v>
      </c>
      <c r="Q13" s="8">
        <v>2034</v>
      </c>
      <c r="R13" s="8">
        <v>2035</v>
      </c>
      <c r="S13" s="8">
        <v>2036</v>
      </c>
      <c r="T13" s="8">
        <v>2037</v>
      </c>
      <c r="U13" s="8">
        <v>2038</v>
      </c>
      <c r="V13" s="8">
        <v>2039</v>
      </c>
      <c r="W13" s="8">
        <v>2040</v>
      </c>
      <c r="X13" s="8">
        <v>2041</v>
      </c>
      <c r="Y13" s="8">
        <v>2042</v>
      </c>
      <c r="Z13" s="8">
        <v>2043</v>
      </c>
      <c r="AA13" s="8">
        <v>2044</v>
      </c>
      <c r="AB13" s="8">
        <v>2045</v>
      </c>
      <c r="AC13" s="8">
        <v>2046</v>
      </c>
      <c r="AD13" s="8">
        <v>2047</v>
      </c>
      <c r="AE13" s="8">
        <v>2048</v>
      </c>
      <c r="AF13" s="8">
        <v>2049</v>
      </c>
      <c r="AG13" s="8">
        <v>2050</v>
      </c>
    </row>
    <row r="14" spans="1:33" ht="19" thickBot="1" x14ac:dyDescent="0.5">
      <c r="A14" s="9">
        <f>SUM(N14:AG14)</f>
        <v>167602513.79115051</v>
      </c>
      <c r="B14" s="10">
        <v>7.0000000000000007E-2</v>
      </c>
      <c r="C14" s="11">
        <v>0</v>
      </c>
      <c r="D14" s="12">
        <v>0</v>
      </c>
      <c r="E14" s="12">
        <v>0</v>
      </c>
      <c r="F14" s="12">
        <v>0</v>
      </c>
      <c r="G14" s="12">
        <v>0</v>
      </c>
      <c r="H14" s="12">
        <v>0</v>
      </c>
      <c r="I14" s="12">
        <v>0</v>
      </c>
      <c r="J14" s="12">
        <v>0</v>
      </c>
      <c r="K14" s="12">
        <v>0</v>
      </c>
      <c r="L14" s="12">
        <v>0</v>
      </c>
      <c r="M14" s="12">
        <v>0</v>
      </c>
      <c r="N14" s="12">
        <f>$C$9*(1+$B$14)^-(N13-2020)</f>
        <v>14785506.204365473</v>
      </c>
      <c r="O14" s="12">
        <f t="shared" ref="O14" si="0">$C$9*(1+$B$14)^-(O13-2020)</f>
        <v>13818230.097537829</v>
      </c>
      <c r="P14" s="12">
        <f t="shared" ref="P14" si="1">$C$9*(1+$B$14)^-(P13-2020)</f>
        <v>12914233.736016661</v>
      </c>
      <c r="Q14" s="12">
        <f t="shared" ref="Q14" si="2">$C$9*(1+$B$14)^-(Q13-2020)</f>
        <v>12069377.323380059</v>
      </c>
      <c r="R14" s="12">
        <f t="shared" ref="R14" si="3">$C$9*(1+$B$14)^-(R13-2020)</f>
        <v>11279791.891009398</v>
      </c>
      <c r="S14" s="12">
        <f t="shared" ref="S14" si="4">$C$9*(1+$B$14)^-(S13-2020)</f>
        <v>10541861.580382617</v>
      </c>
      <c r="T14" s="12">
        <f t="shared" ref="T14" si="5">$C$9*(1+$B$14)^-(T13-2020)</f>
        <v>9852207.0844697356</v>
      </c>
      <c r="U14" s="12">
        <f t="shared" ref="U14" si="6">$C$9*(1+$B$14)^-(U13-2020)</f>
        <v>9207670.1724016219</v>
      </c>
      <c r="V14" s="12">
        <f t="shared" ref="V14" si="7">$C$9*(1+$B$14)^-(V13-2020)</f>
        <v>8605299.2265435718</v>
      </c>
      <c r="W14" s="12">
        <f t="shared" ref="W14" si="8">$C$9*(1+$B$14)^-(W13-2020)</f>
        <v>8042335.7257416556</v>
      </c>
      <c r="X14" s="12">
        <f t="shared" ref="X14" si="9">$C$9*(1+$B$14)^-(X13-2020)</f>
        <v>7516201.6128426688</v>
      </c>
      <c r="Y14" s="12">
        <f t="shared" ref="Y14" si="10">$C$9*(1+$B$14)^-(Y13-2020)</f>
        <v>7024487.4886380089</v>
      </c>
      <c r="Z14" s="12">
        <f t="shared" ref="Z14:AG14" si="11">$C$9*(1+$B$14)^-(Z13-2020)</f>
        <v>6564941.5781663628</v>
      </c>
      <c r="AA14" s="12">
        <f t="shared" si="11"/>
        <v>6135459.4188470682</v>
      </c>
      <c r="AB14" s="12">
        <f t="shared" si="11"/>
        <v>5734074.2232215581</v>
      </c>
      <c r="AC14" s="12">
        <f t="shared" si="11"/>
        <v>5358947.8721696809</v>
      </c>
      <c r="AD14" s="12">
        <f t="shared" si="11"/>
        <v>5008362.4973548409</v>
      </c>
      <c r="AE14" s="12">
        <f t="shared" si="11"/>
        <v>4680712.6143503198</v>
      </c>
      <c r="AF14" s="12">
        <f t="shared" si="11"/>
        <v>4374497.7704208596</v>
      </c>
      <c r="AG14" s="12">
        <f t="shared" si="11"/>
        <v>4088315.6732905232</v>
      </c>
    </row>
    <row r="15" spans="1:33" ht="15" thickTop="1" x14ac:dyDescent="0.35"/>
    <row r="20" spans="1:1" ht="15" thickBot="1" x14ac:dyDescent="0.4"/>
    <row r="21" spans="1:1" ht="19" thickBot="1" x14ac:dyDescent="0.5">
      <c r="A21" s="92" t="s">
        <v>139</v>
      </c>
    </row>
    <row r="22" spans="1:1" ht="18.5" x14ac:dyDescent="0.35">
      <c r="A22" s="93">
        <f>2064*13.77</f>
        <v>28421.279999999999</v>
      </c>
    </row>
    <row r="23" spans="1:1" ht="18.5" x14ac:dyDescent="0.35">
      <c r="A23" s="94">
        <f>A22*365</f>
        <v>10373767.199999999</v>
      </c>
    </row>
    <row r="24" spans="1:1" ht="18.5" x14ac:dyDescent="0.35">
      <c r="A24" s="94">
        <f>A23*2</f>
        <v>20747534.399999999</v>
      </c>
    </row>
    <row r="29" spans="1:1" x14ac:dyDescent="0.35">
      <c r="A29" t="s">
        <v>74</v>
      </c>
    </row>
    <row r="30" spans="1:1" x14ac:dyDescent="0.35">
      <c r="A30" t="s">
        <v>20</v>
      </c>
    </row>
  </sheetData>
  <mergeCells count="14">
    <mergeCell ref="A9:B9"/>
    <mergeCell ref="C9:E9"/>
    <mergeCell ref="A6:B6"/>
    <mergeCell ref="C6:E6"/>
    <mergeCell ref="A7:B7"/>
    <mergeCell ref="C7:E7"/>
    <mergeCell ref="A8:B8"/>
    <mergeCell ref="C8:E8"/>
    <mergeCell ref="A3:B3"/>
    <mergeCell ref="C3:E3"/>
    <mergeCell ref="A4:B4"/>
    <mergeCell ref="C4:E4"/>
    <mergeCell ref="A5:B5"/>
    <mergeCell ref="C5:E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4B6E-5EAB-4E86-B68C-FA6BB42170D9}">
  <dimension ref="A1:AG16"/>
  <sheetViews>
    <sheetView workbookViewId="0">
      <selection activeCell="A13" sqref="A13"/>
    </sheetView>
  </sheetViews>
  <sheetFormatPr defaultRowHeight="14.5" x14ac:dyDescent="0.35"/>
  <cols>
    <col min="1" max="1" width="17.1796875" customWidth="1"/>
    <col min="2" max="2" width="16.81640625" customWidth="1"/>
    <col min="14" max="15" width="13.453125" bestFit="1" customWidth="1"/>
    <col min="16" max="33" width="11.1796875" bestFit="1" customWidth="1"/>
  </cols>
  <sheetData>
    <row r="1" spans="1:33" x14ac:dyDescent="0.35">
      <c r="A1" t="s">
        <v>67</v>
      </c>
    </row>
    <row r="2" spans="1:33" ht="15" thickBot="1" x14ac:dyDescent="0.4"/>
    <row r="3" spans="1:33" ht="22" thickTop="1" thickBot="1" x14ac:dyDescent="0.55000000000000004">
      <c r="A3" s="160" t="s">
        <v>1</v>
      </c>
      <c r="B3" s="161"/>
      <c r="C3" s="160" t="s">
        <v>65</v>
      </c>
      <c r="D3" s="161"/>
      <c r="E3" s="162"/>
    </row>
    <row r="4" spans="1:33" ht="19" thickTop="1" x14ac:dyDescent="0.45">
      <c r="A4" s="184" t="s">
        <v>9</v>
      </c>
      <c r="B4" s="185"/>
      <c r="C4" s="186" t="s">
        <v>10</v>
      </c>
      <c r="D4" s="185"/>
      <c r="E4" s="187"/>
    </row>
    <row r="5" spans="1:33" ht="18.5" x14ac:dyDescent="0.45">
      <c r="A5" s="180" t="s">
        <v>11</v>
      </c>
      <c r="B5" s="181"/>
      <c r="C5" s="182">
        <v>125</v>
      </c>
      <c r="D5" s="181"/>
      <c r="E5" s="183"/>
    </row>
    <row r="6" spans="1:33" ht="18.5" x14ac:dyDescent="0.45">
      <c r="A6" s="180" t="s">
        <v>12</v>
      </c>
      <c r="B6" s="181"/>
      <c r="C6" s="182">
        <v>33</v>
      </c>
      <c r="D6" s="181"/>
      <c r="E6" s="183"/>
    </row>
    <row r="7" spans="1:33" ht="18.5" x14ac:dyDescent="0.45">
      <c r="A7" s="180" t="s">
        <v>13</v>
      </c>
      <c r="B7" s="181"/>
      <c r="C7" s="182">
        <v>7746</v>
      </c>
      <c r="D7" s="181"/>
      <c r="E7" s="183"/>
    </row>
    <row r="8" spans="1:33" ht="18.5" x14ac:dyDescent="0.45">
      <c r="A8" s="180" t="s">
        <v>14</v>
      </c>
      <c r="B8" s="181"/>
      <c r="C8" s="182">
        <v>2097</v>
      </c>
      <c r="D8" s="181"/>
      <c r="E8" s="183"/>
    </row>
    <row r="9" spans="1:33" ht="19" thickBot="1" x14ac:dyDescent="0.5">
      <c r="A9" s="175" t="s">
        <v>62</v>
      </c>
      <c r="B9" s="176"/>
      <c r="C9" s="177">
        <v>2345.11</v>
      </c>
      <c r="D9" s="178"/>
      <c r="E9" s="179"/>
    </row>
    <row r="10" spans="1:33" ht="15" thickTop="1" x14ac:dyDescent="0.35"/>
    <row r="11" spans="1:33" ht="23.5" x14ac:dyDescent="0.55000000000000004">
      <c r="A11" s="3" t="s">
        <v>68</v>
      </c>
    </row>
    <row r="12" spans="1:33" ht="18.5" x14ac:dyDescent="0.45">
      <c r="A12" s="98" t="s">
        <v>17</v>
      </c>
      <c r="B12" s="87" t="s">
        <v>18</v>
      </c>
      <c r="C12" s="79">
        <v>2020</v>
      </c>
      <c r="D12" s="79">
        <v>2021</v>
      </c>
      <c r="E12" s="79">
        <v>2022</v>
      </c>
      <c r="F12" s="79">
        <v>2023</v>
      </c>
      <c r="G12" s="79">
        <v>2024</v>
      </c>
      <c r="H12" s="79">
        <v>2025</v>
      </c>
      <c r="I12" s="79">
        <v>2026</v>
      </c>
      <c r="J12" s="79">
        <v>2027</v>
      </c>
      <c r="K12" s="79">
        <v>2028</v>
      </c>
      <c r="L12" s="79">
        <v>2029</v>
      </c>
      <c r="M12" s="79">
        <v>2030</v>
      </c>
      <c r="N12" s="79">
        <v>2031</v>
      </c>
      <c r="O12" s="79">
        <v>2032</v>
      </c>
      <c r="P12" s="79">
        <v>2033</v>
      </c>
      <c r="Q12" s="79">
        <v>2034</v>
      </c>
      <c r="R12" s="79">
        <v>2035</v>
      </c>
      <c r="S12" s="79">
        <v>2036</v>
      </c>
      <c r="T12" s="79">
        <v>2037</v>
      </c>
      <c r="U12" s="79">
        <v>2038</v>
      </c>
      <c r="V12" s="79">
        <v>2039</v>
      </c>
      <c r="W12" s="79">
        <v>2040</v>
      </c>
      <c r="X12" s="79">
        <v>2041</v>
      </c>
      <c r="Y12" s="79">
        <v>2042</v>
      </c>
      <c r="Z12" s="79">
        <v>2043</v>
      </c>
      <c r="AA12" s="79">
        <v>2044</v>
      </c>
      <c r="AB12" s="79">
        <v>2045</v>
      </c>
      <c r="AC12" s="79">
        <v>2046</v>
      </c>
      <c r="AD12" s="79">
        <v>2047</v>
      </c>
      <c r="AE12" s="79">
        <v>2048</v>
      </c>
      <c r="AF12" s="79">
        <v>2049</v>
      </c>
      <c r="AG12" s="79">
        <v>2050</v>
      </c>
    </row>
    <row r="13" spans="1:33" ht="18.5" x14ac:dyDescent="0.45">
      <c r="A13" s="96">
        <f>SUM(N13:AG13)</f>
        <v>12629.495262394972</v>
      </c>
      <c r="B13" s="97">
        <v>7.0000000000000007E-2</v>
      </c>
      <c r="C13" s="79">
        <v>0</v>
      </c>
      <c r="D13" s="79">
        <v>0</v>
      </c>
      <c r="E13" s="79">
        <v>0</v>
      </c>
      <c r="F13" s="79">
        <v>0</v>
      </c>
      <c r="G13" s="79">
        <v>0</v>
      </c>
      <c r="H13" s="79">
        <v>0</v>
      </c>
      <c r="I13" s="79">
        <v>0</v>
      </c>
      <c r="J13" s="79">
        <f>$C$9*(1+$B$13)^-(J12-2020)*0</f>
        <v>0</v>
      </c>
      <c r="K13" s="79">
        <v>0</v>
      </c>
      <c r="L13" s="79">
        <v>0</v>
      </c>
      <c r="M13" s="79">
        <v>0</v>
      </c>
      <c r="N13" s="81">
        <f>$C$9*(1+$B$13)^-(N12-2020)</f>
        <v>1114.1448677364933</v>
      </c>
      <c r="O13" s="81">
        <f t="shared" ref="O13:AG13" si="0">$C$9*(1+$B$13)^-(O12-2020)</f>
        <v>1041.2568857350407</v>
      </c>
      <c r="P13" s="81">
        <f t="shared" si="0"/>
        <v>973.13727638788839</v>
      </c>
      <c r="Q13" s="81">
        <f t="shared" si="0"/>
        <v>909.47409008213879</v>
      </c>
      <c r="R13" s="81">
        <f t="shared" si="0"/>
        <v>849.97578512349412</v>
      </c>
      <c r="S13" s="81">
        <f t="shared" si="0"/>
        <v>794.36989263877967</v>
      </c>
      <c r="T13" s="81">
        <f t="shared" si="0"/>
        <v>742.40176882128947</v>
      </c>
      <c r="U13" s="81">
        <f t="shared" si="0"/>
        <v>693.83342880494331</v>
      </c>
      <c r="V13" s="81">
        <f t="shared" si="0"/>
        <v>648.4424568270498</v>
      </c>
      <c r="W13" s="81">
        <f t="shared" si="0"/>
        <v>606.02098768883172</v>
      </c>
      <c r="X13" s="81">
        <f t="shared" si="0"/>
        <v>566.37475484937534</v>
      </c>
      <c r="Y13" s="81">
        <f t="shared" si="0"/>
        <v>529.32220079380875</v>
      </c>
      <c r="Z13" s="81">
        <f t="shared" si="0"/>
        <v>494.69364560169038</v>
      </c>
      <c r="AA13" s="81">
        <f t="shared" si="0"/>
        <v>462.33050990812188</v>
      </c>
      <c r="AB13" s="81">
        <f t="shared" si="0"/>
        <v>432.08458869917928</v>
      </c>
      <c r="AC13" s="81">
        <f t="shared" si="0"/>
        <v>403.81737261605548</v>
      </c>
      <c r="AD13" s="81">
        <f t="shared" si="0"/>
        <v>377.39941365986482</v>
      </c>
      <c r="AE13" s="81">
        <f t="shared" si="0"/>
        <v>352.70973239239709</v>
      </c>
      <c r="AF13" s="81">
        <f t="shared" si="0"/>
        <v>329.63526391812815</v>
      </c>
      <c r="AG13" s="81">
        <f t="shared" si="0"/>
        <v>308.07034011040014</v>
      </c>
    </row>
    <row r="16" spans="1:33" x14ac:dyDescent="0.35">
      <c r="A16" t="s">
        <v>19</v>
      </c>
    </row>
  </sheetData>
  <mergeCells count="14">
    <mergeCell ref="A3:B3"/>
    <mergeCell ref="C3:E3"/>
    <mergeCell ref="A4:B4"/>
    <mergeCell ref="C4:E4"/>
    <mergeCell ref="A5:B5"/>
    <mergeCell ref="C5:E5"/>
    <mergeCell ref="A9:B9"/>
    <mergeCell ref="C9:E9"/>
    <mergeCell ref="A6:B6"/>
    <mergeCell ref="C6:E6"/>
    <mergeCell ref="A7:B7"/>
    <mergeCell ref="C7:E7"/>
    <mergeCell ref="A8:B8"/>
    <mergeCell ref="C8:E8"/>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0A199-A9AF-4063-9FE7-FAA98B6C4733}">
  <dimension ref="A1:AJ61"/>
  <sheetViews>
    <sheetView topLeftCell="A52" zoomScale="119" zoomScaleNormal="70" workbookViewId="0">
      <selection activeCell="C64" sqref="C64"/>
    </sheetView>
  </sheetViews>
  <sheetFormatPr defaultRowHeight="14.5" x14ac:dyDescent="0.35"/>
  <cols>
    <col min="1" max="1" width="32.54296875" customWidth="1"/>
    <col min="2" max="2" width="28.81640625" customWidth="1"/>
    <col min="3" max="3" width="13.453125" customWidth="1"/>
    <col min="4" max="4" width="11.453125" bestFit="1" customWidth="1"/>
    <col min="5" max="6" width="10.81640625" bestFit="1" customWidth="1"/>
    <col min="10" max="13" width="16" bestFit="1" customWidth="1"/>
    <col min="14" max="15" width="16.1796875" bestFit="1" customWidth="1"/>
    <col min="16" max="16" width="16.81640625" bestFit="1" customWidth="1"/>
    <col min="17" max="33" width="16.1796875" bestFit="1" customWidth="1"/>
    <col min="34" max="34" width="23" bestFit="1" customWidth="1"/>
    <col min="35" max="35" width="14.54296875" customWidth="1"/>
    <col min="36" max="36" width="13.54296875" customWidth="1"/>
  </cols>
  <sheetData>
    <row r="1" spans="1:36" ht="24" thickBot="1" x14ac:dyDescent="0.6">
      <c r="A1" s="3" t="s">
        <v>60</v>
      </c>
    </row>
    <row r="2" spans="1:36" ht="18.5" x14ac:dyDescent="0.45">
      <c r="A2" s="103" t="s">
        <v>132</v>
      </c>
      <c r="B2" s="91"/>
      <c r="C2" s="101" t="s">
        <v>29</v>
      </c>
      <c r="D2" s="100"/>
      <c r="E2" s="79"/>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row>
    <row r="3" spans="1:36" ht="18.5" x14ac:dyDescent="0.45">
      <c r="A3" s="104"/>
      <c r="B3" s="105"/>
      <c r="C3" s="89">
        <v>2020</v>
      </c>
      <c r="D3" s="79">
        <v>2021</v>
      </c>
      <c r="E3" s="79">
        <v>2022</v>
      </c>
      <c r="F3" s="79">
        <v>2023</v>
      </c>
      <c r="G3" s="79">
        <v>2024</v>
      </c>
      <c r="H3" s="79">
        <v>2025</v>
      </c>
      <c r="I3" s="79">
        <v>2026</v>
      </c>
      <c r="J3" s="79">
        <v>2027</v>
      </c>
      <c r="K3" s="79">
        <v>2028</v>
      </c>
      <c r="L3" s="79">
        <v>2029</v>
      </c>
      <c r="M3" s="79">
        <v>2030</v>
      </c>
      <c r="N3" s="79">
        <v>2031</v>
      </c>
      <c r="O3" s="79">
        <v>2032</v>
      </c>
      <c r="P3" s="79">
        <v>2033</v>
      </c>
      <c r="Q3" s="79">
        <v>2034</v>
      </c>
      <c r="R3" s="79">
        <v>2035</v>
      </c>
      <c r="S3" s="79">
        <v>2036</v>
      </c>
      <c r="T3" s="79">
        <v>2037</v>
      </c>
      <c r="U3" s="79">
        <v>2038</v>
      </c>
      <c r="V3" s="79">
        <v>2039</v>
      </c>
      <c r="W3" s="79">
        <v>2040</v>
      </c>
      <c r="X3" s="79">
        <v>2041</v>
      </c>
      <c r="Y3" s="79">
        <v>2042</v>
      </c>
      <c r="Z3" s="79">
        <v>2043</v>
      </c>
      <c r="AA3" s="79">
        <v>2044</v>
      </c>
      <c r="AB3" s="79">
        <v>2045</v>
      </c>
      <c r="AC3" s="79">
        <v>2046</v>
      </c>
      <c r="AD3" s="99">
        <v>2047</v>
      </c>
      <c r="AE3" s="99">
        <v>2048</v>
      </c>
      <c r="AF3" s="99">
        <v>2049</v>
      </c>
      <c r="AG3" s="99">
        <v>2050</v>
      </c>
      <c r="AH3" s="14"/>
      <c r="AI3" s="14"/>
    </row>
    <row r="4" spans="1:36" ht="18.5" x14ac:dyDescent="0.45">
      <c r="A4" s="104" t="s">
        <v>21</v>
      </c>
      <c r="B4" s="105" t="s">
        <v>24</v>
      </c>
      <c r="C4" s="89">
        <v>0</v>
      </c>
      <c r="D4" s="79">
        <v>0</v>
      </c>
      <c r="E4" s="79">
        <v>0</v>
      </c>
      <c r="F4" s="79">
        <v>0</v>
      </c>
      <c r="G4" s="79">
        <v>0</v>
      </c>
      <c r="H4" s="79">
        <v>0</v>
      </c>
      <c r="I4" s="79">
        <v>0</v>
      </c>
      <c r="J4" s="81">
        <v>58</v>
      </c>
      <c r="K4" s="81">
        <v>60</v>
      </c>
      <c r="L4" s="81">
        <v>61</v>
      </c>
      <c r="M4" s="81">
        <v>62</v>
      </c>
      <c r="N4" s="81">
        <v>63</v>
      </c>
      <c r="O4" s="81">
        <v>64</v>
      </c>
      <c r="P4" s="81">
        <v>65</v>
      </c>
      <c r="Q4" s="81">
        <v>66</v>
      </c>
      <c r="R4" s="81">
        <v>67</v>
      </c>
      <c r="S4" s="81">
        <v>69</v>
      </c>
      <c r="T4" s="81">
        <v>70</v>
      </c>
      <c r="U4" s="81">
        <v>71</v>
      </c>
      <c r="V4" s="81">
        <v>72</v>
      </c>
      <c r="W4" s="81">
        <v>73</v>
      </c>
      <c r="X4" s="81">
        <v>74</v>
      </c>
      <c r="Y4" s="81">
        <v>75</v>
      </c>
      <c r="Z4" s="81">
        <v>77</v>
      </c>
      <c r="AA4" s="81">
        <v>78</v>
      </c>
      <c r="AB4" s="81">
        <v>79</v>
      </c>
      <c r="AC4" s="81">
        <v>80</v>
      </c>
      <c r="AD4" s="81">
        <v>81</v>
      </c>
      <c r="AE4" s="81">
        <v>82</v>
      </c>
      <c r="AF4" s="81">
        <v>83</v>
      </c>
      <c r="AG4" s="81">
        <v>84</v>
      </c>
    </row>
    <row r="5" spans="1:36" ht="18.5" x14ac:dyDescent="0.45">
      <c r="A5" s="104" t="s">
        <v>22</v>
      </c>
      <c r="B5" s="131">
        <v>8.0000000000000002E-3</v>
      </c>
      <c r="C5" s="102">
        <v>0</v>
      </c>
      <c r="D5" s="79">
        <v>0</v>
      </c>
      <c r="E5" s="79">
        <v>0</v>
      </c>
      <c r="F5" s="79">
        <v>0</v>
      </c>
      <c r="G5" s="79">
        <v>0</v>
      </c>
      <c r="H5" s="79">
        <v>0</v>
      </c>
      <c r="I5" s="79">
        <v>0</v>
      </c>
      <c r="J5" s="81">
        <v>827400</v>
      </c>
      <c r="K5" s="81">
        <v>840600</v>
      </c>
      <c r="L5" s="81">
        <v>854000</v>
      </c>
      <c r="M5" s="81">
        <v>867600</v>
      </c>
      <c r="N5" s="81">
        <v>867600</v>
      </c>
      <c r="O5" s="81">
        <v>867600</v>
      </c>
      <c r="P5" s="81">
        <v>867600</v>
      </c>
      <c r="Q5" s="81">
        <v>867600</v>
      </c>
      <c r="R5" s="81">
        <v>867600</v>
      </c>
      <c r="S5" s="81">
        <v>867600</v>
      </c>
      <c r="T5" s="81">
        <v>867600</v>
      </c>
      <c r="U5" s="81">
        <v>867600</v>
      </c>
      <c r="V5" s="81">
        <v>867600</v>
      </c>
      <c r="W5" s="81">
        <v>867600</v>
      </c>
      <c r="X5" s="81">
        <v>867600</v>
      </c>
      <c r="Y5" s="81">
        <v>867600</v>
      </c>
      <c r="Z5" s="81">
        <v>867600</v>
      </c>
      <c r="AA5" s="81">
        <v>867600</v>
      </c>
      <c r="AB5" s="81">
        <v>867600</v>
      </c>
      <c r="AC5" s="81">
        <v>867600</v>
      </c>
      <c r="AD5" s="81">
        <v>867600</v>
      </c>
      <c r="AE5" s="81">
        <v>867600</v>
      </c>
      <c r="AF5" s="81">
        <v>867600</v>
      </c>
      <c r="AG5" s="81">
        <v>867600</v>
      </c>
      <c r="AH5" s="1"/>
    </row>
    <row r="6" spans="1:36" ht="19" thickBot="1" x14ac:dyDescent="0.5">
      <c r="A6" s="106" t="s">
        <v>30</v>
      </c>
      <c r="B6" s="132">
        <v>0.192</v>
      </c>
      <c r="C6" s="102">
        <v>0</v>
      </c>
      <c r="D6" s="79">
        <v>0</v>
      </c>
      <c r="E6" s="79">
        <v>0</v>
      </c>
      <c r="F6" s="79">
        <v>0</v>
      </c>
      <c r="G6" s="79">
        <v>0</v>
      </c>
      <c r="H6" s="79">
        <v>0</v>
      </c>
      <c r="I6" s="79">
        <v>0</v>
      </c>
      <c r="J6" s="81">
        <v>17100</v>
      </c>
      <c r="K6" s="81">
        <v>17400</v>
      </c>
      <c r="L6" s="81">
        <v>17700</v>
      </c>
      <c r="M6" s="81">
        <v>18100</v>
      </c>
      <c r="N6" s="81">
        <v>18100</v>
      </c>
      <c r="O6" s="81">
        <v>18100</v>
      </c>
      <c r="P6" s="81">
        <v>18100</v>
      </c>
      <c r="Q6" s="81">
        <v>18100</v>
      </c>
      <c r="R6" s="81">
        <v>18100</v>
      </c>
      <c r="S6" s="81">
        <v>18100</v>
      </c>
      <c r="T6" s="81">
        <v>18100</v>
      </c>
      <c r="U6" s="81">
        <v>18100</v>
      </c>
      <c r="V6" s="81">
        <v>18100</v>
      </c>
      <c r="W6" s="81">
        <v>18100</v>
      </c>
      <c r="X6" s="81">
        <v>18100</v>
      </c>
      <c r="Y6" s="81">
        <v>18100</v>
      </c>
      <c r="Z6" s="81">
        <v>18100</v>
      </c>
      <c r="AA6" s="81">
        <v>18100</v>
      </c>
      <c r="AB6" s="81">
        <v>18100</v>
      </c>
      <c r="AC6" s="81">
        <v>18100</v>
      </c>
      <c r="AD6" s="81">
        <v>18100</v>
      </c>
      <c r="AE6" s="81">
        <v>18100</v>
      </c>
      <c r="AF6" s="81">
        <v>18100</v>
      </c>
      <c r="AG6" s="81">
        <v>18100</v>
      </c>
      <c r="AH6" s="1"/>
    </row>
    <row r="8" spans="1:36" ht="18.5" x14ac:dyDescent="0.45">
      <c r="A8" s="188" t="s">
        <v>26</v>
      </c>
      <c r="B8" s="192"/>
      <c r="C8" s="189"/>
    </row>
    <row r="9" spans="1:36" ht="18.5" x14ac:dyDescent="0.45">
      <c r="A9" s="108" t="s">
        <v>21</v>
      </c>
      <c r="B9" s="108" t="s">
        <v>32</v>
      </c>
      <c r="C9" s="95">
        <v>0.03</v>
      </c>
    </row>
    <row r="10" spans="1:36" ht="18.5" x14ac:dyDescent="0.45">
      <c r="A10" s="108" t="s">
        <v>22</v>
      </c>
      <c r="B10" s="108" t="s">
        <v>135</v>
      </c>
      <c r="C10" s="95">
        <v>7.0000000000000007E-2</v>
      </c>
      <c r="P10" t="s">
        <v>59</v>
      </c>
    </row>
    <row r="11" spans="1:36" ht="18.5" x14ac:dyDescent="0.45">
      <c r="A11" s="77"/>
      <c r="B11" s="77"/>
      <c r="C11" s="77"/>
    </row>
    <row r="12" spans="1:36" ht="18.5" x14ac:dyDescent="0.45">
      <c r="A12" s="77"/>
      <c r="B12" s="120" t="s">
        <v>140</v>
      </c>
      <c r="C12" s="77"/>
    </row>
    <row r="13" spans="1:36" ht="18.5" x14ac:dyDescent="0.45">
      <c r="B13" s="87" t="s">
        <v>28</v>
      </c>
      <c r="C13" s="79">
        <v>2020</v>
      </c>
      <c r="D13" s="79">
        <v>2021</v>
      </c>
      <c r="E13" s="79">
        <v>2022</v>
      </c>
      <c r="F13" s="79">
        <v>2023</v>
      </c>
      <c r="G13" s="79">
        <v>2024</v>
      </c>
      <c r="H13" s="79">
        <v>2025</v>
      </c>
      <c r="I13" s="79">
        <v>2026</v>
      </c>
      <c r="J13" s="79">
        <v>2027</v>
      </c>
      <c r="K13" s="79">
        <v>2028</v>
      </c>
      <c r="L13" s="79">
        <v>2029</v>
      </c>
      <c r="M13" s="79">
        <v>2030</v>
      </c>
      <c r="N13" s="79">
        <v>2031</v>
      </c>
      <c r="O13" s="79">
        <v>2032</v>
      </c>
      <c r="P13" s="79">
        <v>2033</v>
      </c>
      <c r="Q13" s="79">
        <v>2034</v>
      </c>
      <c r="R13" s="79">
        <v>2035</v>
      </c>
      <c r="S13" s="79">
        <v>2036</v>
      </c>
      <c r="T13" s="79">
        <v>2037</v>
      </c>
      <c r="U13" s="79">
        <v>2038</v>
      </c>
      <c r="V13" s="79">
        <v>2039</v>
      </c>
      <c r="W13" s="79">
        <v>2040</v>
      </c>
      <c r="X13" s="79">
        <v>2041</v>
      </c>
      <c r="Y13" s="79">
        <v>2042</v>
      </c>
      <c r="Z13" s="79">
        <v>2043</v>
      </c>
      <c r="AA13" s="79">
        <v>2044</v>
      </c>
      <c r="AB13" s="79">
        <v>2045</v>
      </c>
      <c r="AC13" s="79">
        <v>2046</v>
      </c>
      <c r="AD13" s="79">
        <v>2047</v>
      </c>
      <c r="AE13" s="79">
        <v>2048</v>
      </c>
      <c r="AF13" s="79">
        <v>2049</v>
      </c>
      <c r="AG13" s="79">
        <v>2050</v>
      </c>
      <c r="AI13" s="193" t="s">
        <v>33</v>
      </c>
      <c r="AJ13" s="193"/>
    </row>
    <row r="14" spans="1:36" ht="18.5" x14ac:dyDescent="0.45">
      <c r="B14" s="87" t="s">
        <v>21</v>
      </c>
      <c r="C14" s="79">
        <v>0</v>
      </c>
      <c r="D14" s="79">
        <v>0</v>
      </c>
      <c r="E14" s="79">
        <v>0</v>
      </c>
      <c r="F14" s="79">
        <v>0</v>
      </c>
      <c r="G14" s="79">
        <v>0</v>
      </c>
      <c r="H14" s="79">
        <v>0</v>
      </c>
      <c r="I14" s="79">
        <f>C4*4.6*33</f>
        <v>0</v>
      </c>
      <c r="J14" s="79">
        <v>0</v>
      </c>
      <c r="K14" s="79">
        <v>0</v>
      </c>
      <c r="L14" s="79">
        <v>0</v>
      </c>
      <c r="M14" s="79">
        <v>0</v>
      </c>
      <c r="N14" s="81">
        <f>N4*33*4.6</f>
        <v>9563.4</v>
      </c>
      <c r="O14" s="81">
        <f t="shared" ref="O14:AB14" si="0">O4*33*4.6</f>
        <v>9715.1999999999989</v>
      </c>
      <c r="P14" s="81">
        <f t="shared" si="0"/>
        <v>9867</v>
      </c>
      <c r="Q14" s="81">
        <f t="shared" si="0"/>
        <v>10018.799999999999</v>
      </c>
      <c r="R14" s="81">
        <f t="shared" si="0"/>
        <v>10170.599999999999</v>
      </c>
      <c r="S14" s="81">
        <f t="shared" si="0"/>
        <v>10474.199999999999</v>
      </c>
      <c r="T14" s="81">
        <f t="shared" si="0"/>
        <v>10626</v>
      </c>
      <c r="U14" s="81">
        <f t="shared" si="0"/>
        <v>10777.8</v>
      </c>
      <c r="V14" s="81">
        <f t="shared" si="0"/>
        <v>10929.599999999999</v>
      </c>
      <c r="W14" s="81">
        <f t="shared" si="0"/>
        <v>11081.4</v>
      </c>
      <c r="X14" s="81">
        <f t="shared" si="0"/>
        <v>11233.199999999999</v>
      </c>
      <c r="Y14" s="81">
        <f t="shared" si="0"/>
        <v>11385</v>
      </c>
      <c r="Z14" s="81">
        <f t="shared" si="0"/>
        <v>11688.599999999999</v>
      </c>
      <c r="AA14" s="81">
        <f t="shared" si="0"/>
        <v>11840.4</v>
      </c>
      <c r="AB14" s="81">
        <f t="shared" si="0"/>
        <v>11992.199999999999</v>
      </c>
      <c r="AC14" s="81">
        <f>AC4*33*4.6</f>
        <v>12143.999999999998</v>
      </c>
      <c r="AD14" s="81">
        <f t="shared" ref="AD14:AG14" si="1">AD4*33*4.6</f>
        <v>12295.8</v>
      </c>
      <c r="AE14" s="81">
        <f t="shared" si="1"/>
        <v>12447.599999999999</v>
      </c>
      <c r="AF14" s="81">
        <f t="shared" si="1"/>
        <v>12599.4</v>
      </c>
      <c r="AG14" s="81">
        <f t="shared" si="1"/>
        <v>12751.199999999999</v>
      </c>
      <c r="AI14" s="197">
        <f>SUM(J14:AG14)/20</f>
        <v>11180.069999999998</v>
      </c>
      <c r="AJ14" s="197"/>
    </row>
    <row r="15" spans="1:36" ht="18.5" x14ac:dyDescent="0.45">
      <c r="B15" s="87" t="s">
        <v>22</v>
      </c>
      <c r="C15" s="79">
        <v>0</v>
      </c>
      <c r="D15" s="79">
        <v>0</v>
      </c>
      <c r="E15" s="79">
        <v>0</v>
      </c>
      <c r="F15" s="79">
        <v>0</v>
      </c>
      <c r="G15" s="79">
        <v>0</v>
      </c>
      <c r="H15" s="79">
        <v>0</v>
      </c>
      <c r="I15" s="79">
        <v>0</v>
      </c>
      <c r="J15" s="79">
        <v>0</v>
      </c>
      <c r="K15" s="79">
        <v>0</v>
      </c>
      <c r="L15" s="79">
        <v>0</v>
      </c>
      <c r="M15" s="79">
        <v>0</v>
      </c>
      <c r="N15" s="81">
        <f t="shared" ref="N15:AG15" si="2">N5*33*0.008</f>
        <v>229046.39999999999</v>
      </c>
      <c r="O15" s="81">
        <f>O5*33*0.008</f>
        <v>229046.39999999999</v>
      </c>
      <c r="P15" s="81">
        <f t="shared" si="2"/>
        <v>229046.39999999999</v>
      </c>
      <c r="Q15" s="81">
        <f t="shared" si="2"/>
        <v>229046.39999999999</v>
      </c>
      <c r="R15" s="81">
        <f t="shared" si="2"/>
        <v>229046.39999999999</v>
      </c>
      <c r="S15" s="81">
        <f t="shared" si="2"/>
        <v>229046.39999999999</v>
      </c>
      <c r="T15" s="81">
        <f t="shared" si="2"/>
        <v>229046.39999999999</v>
      </c>
      <c r="U15" s="81">
        <f t="shared" si="2"/>
        <v>229046.39999999999</v>
      </c>
      <c r="V15" s="81">
        <f t="shared" si="2"/>
        <v>229046.39999999999</v>
      </c>
      <c r="W15" s="81">
        <f t="shared" si="2"/>
        <v>229046.39999999999</v>
      </c>
      <c r="X15" s="81">
        <f t="shared" si="2"/>
        <v>229046.39999999999</v>
      </c>
      <c r="Y15" s="81">
        <f t="shared" si="2"/>
        <v>229046.39999999999</v>
      </c>
      <c r="Z15" s="81">
        <f t="shared" si="2"/>
        <v>229046.39999999999</v>
      </c>
      <c r="AA15" s="81">
        <f t="shared" si="2"/>
        <v>229046.39999999999</v>
      </c>
      <c r="AB15" s="81">
        <f t="shared" si="2"/>
        <v>229046.39999999999</v>
      </c>
      <c r="AC15" s="81">
        <f t="shared" si="2"/>
        <v>229046.39999999999</v>
      </c>
      <c r="AD15" s="81">
        <f t="shared" si="2"/>
        <v>229046.39999999999</v>
      </c>
      <c r="AE15" s="81">
        <f t="shared" si="2"/>
        <v>229046.39999999999</v>
      </c>
      <c r="AF15" s="81">
        <f t="shared" si="2"/>
        <v>229046.39999999999</v>
      </c>
      <c r="AG15" s="81">
        <f t="shared" si="2"/>
        <v>229046.39999999999</v>
      </c>
      <c r="AI15" s="197">
        <f>SUM(J15:AG15)/20</f>
        <v>229046.39999999997</v>
      </c>
      <c r="AJ15" s="197"/>
    </row>
    <row r="16" spans="1:36" ht="18.5" x14ac:dyDescent="0.45">
      <c r="B16" s="87" t="s">
        <v>30</v>
      </c>
      <c r="C16" s="79">
        <v>0</v>
      </c>
      <c r="D16" s="79">
        <v>0</v>
      </c>
      <c r="E16" s="79">
        <v>0</v>
      </c>
      <c r="F16" s="79">
        <v>0</v>
      </c>
      <c r="G16" s="79">
        <v>0</v>
      </c>
      <c r="H16" s="79">
        <v>0</v>
      </c>
      <c r="I16" s="79">
        <v>0</v>
      </c>
      <c r="J16" s="79">
        <v>0</v>
      </c>
      <c r="K16" s="79">
        <v>0</v>
      </c>
      <c r="L16" s="79">
        <v>0</v>
      </c>
      <c r="M16" s="79">
        <v>0</v>
      </c>
      <c r="N16" s="81">
        <f t="shared" ref="N16:AB16" si="3">N6*33*0.192</f>
        <v>114681.60000000001</v>
      </c>
      <c r="O16" s="81">
        <f t="shared" si="3"/>
        <v>114681.60000000001</v>
      </c>
      <c r="P16" s="81">
        <f t="shared" si="3"/>
        <v>114681.60000000001</v>
      </c>
      <c r="Q16" s="81">
        <f t="shared" si="3"/>
        <v>114681.60000000001</v>
      </c>
      <c r="R16" s="81">
        <f t="shared" si="3"/>
        <v>114681.60000000001</v>
      </c>
      <c r="S16" s="81">
        <f t="shared" si="3"/>
        <v>114681.60000000001</v>
      </c>
      <c r="T16" s="81">
        <f t="shared" si="3"/>
        <v>114681.60000000001</v>
      </c>
      <c r="U16" s="81">
        <f t="shared" si="3"/>
        <v>114681.60000000001</v>
      </c>
      <c r="V16" s="81">
        <f t="shared" si="3"/>
        <v>114681.60000000001</v>
      </c>
      <c r="W16" s="81">
        <f t="shared" si="3"/>
        <v>114681.60000000001</v>
      </c>
      <c r="X16" s="81">
        <f t="shared" si="3"/>
        <v>114681.60000000001</v>
      </c>
      <c r="Y16" s="81">
        <f t="shared" si="3"/>
        <v>114681.60000000001</v>
      </c>
      <c r="Z16" s="81">
        <f t="shared" si="3"/>
        <v>114681.60000000001</v>
      </c>
      <c r="AA16" s="81">
        <f t="shared" si="3"/>
        <v>114681.60000000001</v>
      </c>
      <c r="AB16" s="81">
        <f t="shared" si="3"/>
        <v>114681.60000000001</v>
      </c>
      <c r="AC16" s="81">
        <f>AC6*33*0.192</f>
        <v>114681.60000000001</v>
      </c>
      <c r="AD16" s="81">
        <f t="shared" ref="AD16:AG16" si="4">AD6*33*0.192</f>
        <v>114681.60000000001</v>
      </c>
      <c r="AE16" s="81">
        <f t="shared" si="4"/>
        <v>114681.60000000001</v>
      </c>
      <c r="AF16" s="81">
        <f t="shared" si="4"/>
        <v>114681.60000000001</v>
      </c>
      <c r="AG16" s="81">
        <f t="shared" si="4"/>
        <v>114681.60000000001</v>
      </c>
      <c r="AI16" s="197">
        <f>SUM(J16:AG16)/20</f>
        <v>114681.60000000005</v>
      </c>
      <c r="AJ16" s="197"/>
    </row>
    <row r="17" spans="1:36" ht="15" thickBot="1" x14ac:dyDescent="0.4">
      <c r="AI17" s="198">
        <f>SUM(AI14:AI16)</f>
        <v>354908.07</v>
      </c>
      <c r="AJ17" s="198"/>
    </row>
    <row r="18" spans="1:36" ht="19" thickTop="1" x14ac:dyDescent="0.45">
      <c r="A18" s="88" t="s">
        <v>27</v>
      </c>
      <c r="B18" s="88" t="s">
        <v>31</v>
      </c>
      <c r="C18" s="79">
        <v>2020</v>
      </c>
      <c r="D18" s="79">
        <v>2021</v>
      </c>
      <c r="E18" s="79">
        <v>2022</v>
      </c>
      <c r="F18" s="79">
        <v>2023</v>
      </c>
      <c r="G18" s="79">
        <v>2024</v>
      </c>
      <c r="H18" s="79">
        <v>2025</v>
      </c>
      <c r="I18" s="79">
        <v>2026</v>
      </c>
      <c r="J18" s="79">
        <v>2027</v>
      </c>
      <c r="K18" s="79">
        <v>2028</v>
      </c>
      <c r="L18" s="79">
        <v>2029</v>
      </c>
      <c r="M18" s="79">
        <v>2030</v>
      </c>
      <c r="N18" s="79">
        <v>2031</v>
      </c>
      <c r="O18" s="79">
        <v>2032</v>
      </c>
      <c r="P18" s="79">
        <v>2033</v>
      </c>
      <c r="Q18" s="79">
        <v>2034</v>
      </c>
      <c r="R18" s="79">
        <v>2035</v>
      </c>
      <c r="S18" s="79">
        <v>2036</v>
      </c>
      <c r="T18" s="79">
        <v>2037</v>
      </c>
      <c r="U18" s="79">
        <v>2038</v>
      </c>
      <c r="V18" s="79">
        <v>2039</v>
      </c>
      <c r="W18" s="79">
        <v>2040</v>
      </c>
      <c r="X18" s="79">
        <v>2041</v>
      </c>
      <c r="Y18" s="79">
        <v>2042</v>
      </c>
      <c r="Z18" s="79">
        <v>2043</v>
      </c>
      <c r="AA18" s="79">
        <v>2044</v>
      </c>
      <c r="AB18" s="79">
        <v>2045</v>
      </c>
      <c r="AC18" s="79">
        <v>2046</v>
      </c>
      <c r="AD18" s="79">
        <v>2047</v>
      </c>
      <c r="AE18" s="79">
        <v>2048</v>
      </c>
      <c r="AF18" s="79">
        <v>2049</v>
      </c>
      <c r="AG18" s="79">
        <v>2050</v>
      </c>
    </row>
    <row r="19" spans="1:36" ht="18.5" x14ac:dyDescent="0.45">
      <c r="A19" s="96">
        <f>SUM(N19:AG19)</f>
        <v>121910.75730551123</v>
      </c>
      <c r="B19" s="108" t="s">
        <v>21</v>
      </c>
      <c r="C19" s="79">
        <v>0</v>
      </c>
      <c r="D19" s="79">
        <v>0</v>
      </c>
      <c r="E19" s="79">
        <v>0</v>
      </c>
      <c r="F19" s="79">
        <v>0</v>
      </c>
      <c r="G19" s="79">
        <v>0</v>
      </c>
      <c r="H19" s="79">
        <v>0</v>
      </c>
      <c r="I19" s="79">
        <v>0</v>
      </c>
      <c r="J19" s="107">
        <f>J14*(1+$C$23)^-(J18-2020)</f>
        <v>0</v>
      </c>
      <c r="K19" s="107">
        <f>K14*(1+$C$23)^-(K18-2020)</f>
        <v>0</v>
      </c>
      <c r="L19" s="107">
        <f>L14*(1+$C$23)^-(L18-2020)</f>
        <v>0</v>
      </c>
      <c r="M19" s="107">
        <f>M14*(1+$C$23)^-(M18-2020)</f>
        <v>0</v>
      </c>
      <c r="N19" s="81">
        <f>N14*(1+$C$9)^-(N18-2020)</f>
        <v>6908.8036366246033</v>
      </c>
      <c r="O19" s="81">
        <f t="shared" ref="O19:AG19" si="5">O14*(1+$C$9)^-(O18-2020)</f>
        <v>6814.0458120507728</v>
      </c>
      <c r="P19" s="81">
        <f t="shared" si="5"/>
        <v>6718.9468717126865</v>
      </c>
      <c r="Q19" s="81">
        <f t="shared" si="5"/>
        <v>6623.6070729355815</v>
      </c>
      <c r="R19" s="81">
        <f t="shared" si="5"/>
        <v>6528.1211221930553</v>
      </c>
      <c r="S19" s="81">
        <f t="shared" si="5"/>
        <v>6527.175154779321</v>
      </c>
      <c r="T19" s="81">
        <f t="shared" si="5"/>
        <v>6428.9047535465388</v>
      </c>
      <c r="U19" s="81">
        <f t="shared" si="5"/>
        <v>6330.8216019667716</v>
      </c>
      <c r="V19" s="81">
        <f t="shared" si="5"/>
        <v>6232.9981586436143</v>
      </c>
      <c r="W19" s="81">
        <f t="shared" si="5"/>
        <v>6135.5025024404522</v>
      </c>
      <c r="X19" s="81">
        <f t="shared" si="5"/>
        <v>6038.3985261416874</v>
      </c>
      <c r="Y19" s="81">
        <f t="shared" si="5"/>
        <v>5941.7461225482366</v>
      </c>
      <c r="Z19" s="81">
        <f t="shared" si="5"/>
        <v>5922.5171706953288</v>
      </c>
      <c r="AA19" s="81">
        <f t="shared" si="5"/>
        <v>5824.6922117543272</v>
      </c>
      <c r="AB19" s="81">
        <f t="shared" si="5"/>
        <v>5727.5415076996742</v>
      </c>
      <c r="AC19" s="81">
        <f t="shared" si="5"/>
        <v>5631.1087700131975</v>
      </c>
      <c r="AD19" s="81">
        <f t="shared" si="5"/>
        <v>5535.4345918819063</v>
      </c>
      <c r="AE19" s="81">
        <f t="shared" si="5"/>
        <v>5440.5565927641892</v>
      </c>
      <c r="AF19" s="81">
        <f t="shared" si="5"/>
        <v>5346.5095571800584</v>
      </c>
      <c r="AG19" s="81">
        <f t="shared" si="5"/>
        <v>5253.3255679392314</v>
      </c>
      <c r="AH19" s="15"/>
    </row>
    <row r="20" spans="1:36" ht="18.5" x14ac:dyDescent="0.45">
      <c r="A20" s="96">
        <f>SUM(N20:AG20)</f>
        <v>1233520.1434766909</v>
      </c>
      <c r="B20" s="108" t="s">
        <v>22</v>
      </c>
      <c r="C20" s="79">
        <v>0</v>
      </c>
      <c r="D20" s="79">
        <v>0</v>
      </c>
      <c r="E20" s="79">
        <v>0</v>
      </c>
      <c r="F20" s="79">
        <v>0</v>
      </c>
      <c r="G20" s="79">
        <v>0</v>
      </c>
      <c r="H20" s="79">
        <v>0</v>
      </c>
      <c r="I20" s="79">
        <v>0</v>
      </c>
      <c r="J20" s="79">
        <f>J15*(1+$C$24)^-(J18-2020)</f>
        <v>0</v>
      </c>
      <c r="K20" s="79">
        <f t="shared" ref="K20:M20" si="6">K15*(1+$C$24)^-(K18-2020)</f>
        <v>0</v>
      </c>
      <c r="L20" s="79">
        <f t="shared" si="6"/>
        <v>0</v>
      </c>
      <c r="M20" s="79">
        <f t="shared" si="6"/>
        <v>0</v>
      </c>
      <c r="N20" s="81">
        <f>N15*(1+$C$10)^-(N18-2020)</f>
        <v>108818.29467850973</v>
      </c>
      <c r="O20" s="81">
        <f t="shared" ref="O20:AG20" si="7">O15*(1+$C$10)^-(O18-2020)</f>
        <v>101699.34082103714</v>
      </c>
      <c r="P20" s="81">
        <f t="shared" si="7"/>
        <v>95046.112916857135</v>
      </c>
      <c r="Q20" s="81">
        <f t="shared" si="7"/>
        <v>88828.1429129506</v>
      </c>
      <c r="R20" s="81">
        <f t="shared" si="7"/>
        <v>83016.955993411771</v>
      </c>
      <c r="S20" s="81">
        <f t="shared" si="7"/>
        <v>77585.940180758669</v>
      </c>
      <c r="T20" s="81">
        <f t="shared" si="7"/>
        <v>72510.224467998763</v>
      </c>
      <c r="U20" s="81">
        <f t="shared" si="7"/>
        <v>67766.564923363316</v>
      </c>
      <c r="V20" s="81">
        <f t="shared" si="7"/>
        <v>63333.238246133944</v>
      </c>
      <c r="W20" s="81">
        <f t="shared" si="7"/>
        <v>59189.942286106496</v>
      </c>
      <c r="X20" s="81">
        <f t="shared" si="7"/>
        <v>55317.703071127566</v>
      </c>
      <c r="Y20" s="81">
        <f t="shared" si="7"/>
        <v>51698.787916941648</v>
      </c>
      <c r="Z20" s="81">
        <f t="shared" si="7"/>
        <v>48316.62422144079</v>
      </c>
      <c r="AA20" s="81">
        <f t="shared" si="7"/>
        <v>45155.723571439994</v>
      </c>
      <c r="AB20" s="81">
        <f t="shared" si="7"/>
        <v>42201.610814429892</v>
      </c>
      <c r="AC20" s="81">
        <f t="shared" si="7"/>
        <v>39440.757770495235</v>
      </c>
      <c r="AD20" s="81">
        <f t="shared" si="7"/>
        <v>36860.521280836656</v>
      </c>
      <c r="AE20" s="81">
        <f t="shared" si="7"/>
        <v>34449.085309193142</v>
      </c>
      <c r="AF20" s="81">
        <f t="shared" si="7"/>
        <v>32195.406831021632</v>
      </c>
      <c r="AG20" s="81">
        <f t="shared" si="7"/>
        <v>30089.165262637041</v>
      </c>
    </row>
    <row r="21" spans="1:36" ht="18.5" x14ac:dyDescent="0.45">
      <c r="A21" s="109">
        <f>SUM(N21:AG21)</f>
        <v>617613.12854572933</v>
      </c>
      <c r="B21" s="110" t="s">
        <v>30</v>
      </c>
      <c r="C21" s="111">
        <v>0</v>
      </c>
      <c r="D21" s="111">
        <v>0</v>
      </c>
      <c r="E21" s="111">
        <v>0</v>
      </c>
      <c r="F21" s="111">
        <v>0</v>
      </c>
      <c r="G21" s="111">
        <v>0</v>
      </c>
      <c r="H21" s="111">
        <v>0</v>
      </c>
      <c r="I21" s="111">
        <v>0</v>
      </c>
      <c r="J21" s="111">
        <v>0</v>
      </c>
      <c r="K21" s="111">
        <f>K16*(1+$C$24)^-(K18-2020)</f>
        <v>0</v>
      </c>
      <c r="L21" s="111">
        <f t="shared" ref="L21:M21" si="8">L16*(1+$C$24)^-(L18-2020)</f>
        <v>0</v>
      </c>
      <c r="M21" s="111">
        <f t="shared" si="8"/>
        <v>0</v>
      </c>
      <c r="N21" s="112">
        <f>N16*(1+$C$10)^-(N18-2020)</f>
        <v>54484.402038202665</v>
      </c>
      <c r="O21" s="112">
        <f t="shared" ref="O21:AG21" si="9">O16*(1+$C$10)^-(O18-2020)</f>
        <v>50920.001904862307</v>
      </c>
      <c r="P21" s="112">
        <f t="shared" si="9"/>
        <v>47588.786826974116</v>
      </c>
      <c r="Q21" s="112">
        <f t="shared" si="9"/>
        <v>44475.501707452451</v>
      </c>
      <c r="R21" s="112">
        <f t="shared" si="9"/>
        <v>41565.889446217239</v>
      </c>
      <c r="S21" s="112">
        <f t="shared" si="9"/>
        <v>38846.625650670321</v>
      </c>
      <c r="T21" s="112">
        <f t="shared" si="9"/>
        <v>36305.2576174489</v>
      </c>
      <c r="U21" s="112">
        <f t="shared" si="9"/>
        <v>33930.147306027007</v>
      </c>
      <c r="V21" s="112">
        <f t="shared" si="9"/>
        <v>31710.418043015892</v>
      </c>
      <c r="W21" s="112">
        <f t="shared" si="9"/>
        <v>29635.904713098967</v>
      </c>
      <c r="X21" s="112">
        <f t="shared" si="9"/>
        <v>27697.107208503705</v>
      </c>
      <c r="Y21" s="112">
        <f t="shared" si="9"/>
        <v>25885.14692383524</v>
      </c>
      <c r="Z21" s="112">
        <f t="shared" si="9"/>
        <v>24191.726097042279</v>
      </c>
      <c r="AA21" s="112">
        <f t="shared" si="9"/>
        <v>22609.089810319885</v>
      </c>
      <c r="AB21" s="112">
        <f t="shared" si="9"/>
        <v>21129.990476934472</v>
      </c>
      <c r="AC21" s="112">
        <f t="shared" si="9"/>
        <v>19747.654651340632</v>
      </c>
      <c r="AD21" s="112">
        <f t="shared" si="9"/>
        <v>18455.752010598717</v>
      </c>
      <c r="AE21" s="112">
        <f t="shared" si="9"/>
        <v>17248.366365045531</v>
      </c>
      <c r="AF21" s="112">
        <f t="shared" si="9"/>
        <v>16119.968565463114</v>
      </c>
      <c r="AG21" s="112">
        <f t="shared" si="9"/>
        <v>15065.391182675809</v>
      </c>
    </row>
    <row r="22" spans="1:36" ht="19" thickBot="1" x14ac:dyDescent="0.5">
      <c r="A22" s="115">
        <f>SUM(A19:A21)</f>
        <v>1973044.0293279313</v>
      </c>
      <c r="B22" s="114"/>
      <c r="C22" s="113"/>
      <c r="D22" s="113"/>
      <c r="E22" s="113"/>
      <c r="F22" s="113"/>
      <c r="G22" s="113"/>
      <c r="H22" s="113"/>
      <c r="I22" s="113"/>
      <c r="J22" s="113"/>
      <c r="K22" s="113"/>
      <c r="L22" s="113"/>
      <c r="M22" s="113"/>
      <c r="N22" s="113"/>
      <c r="O22" s="113"/>
      <c r="P22" s="113"/>
      <c r="Q22" s="113"/>
      <c r="R22" s="113"/>
      <c r="S22" s="113"/>
      <c r="T22" s="113"/>
      <c r="U22" s="113"/>
      <c r="V22" s="113"/>
      <c r="W22" s="113"/>
      <c r="X22" s="113"/>
      <c r="Y22" s="113"/>
      <c r="Z22" s="113"/>
      <c r="AA22" s="113"/>
      <c r="AB22" s="113"/>
      <c r="AC22" s="113"/>
      <c r="AD22" s="113"/>
      <c r="AE22" s="113"/>
      <c r="AF22" s="113"/>
      <c r="AG22" s="113"/>
    </row>
    <row r="23" spans="1:36" ht="15" thickTop="1" x14ac:dyDescent="0.35">
      <c r="C23" s="13"/>
    </row>
    <row r="24" spans="1:36" x14ac:dyDescent="0.35">
      <c r="C24" s="13"/>
    </row>
    <row r="28" spans="1:36" ht="23.5" x14ac:dyDescent="0.55000000000000004">
      <c r="A28" s="194" t="s">
        <v>105</v>
      </c>
      <c r="B28" s="194"/>
    </row>
    <row r="29" spans="1:36" ht="18.5" x14ac:dyDescent="0.45">
      <c r="A29" s="119" t="s">
        <v>119</v>
      </c>
      <c r="B29" s="119" t="s">
        <v>120</v>
      </c>
      <c r="C29" s="119" t="s">
        <v>23</v>
      </c>
      <c r="D29" s="119" t="s">
        <v>121</v>
      </c>
      <c r="E29" s="119" t="s">
        <v>122</v>
      </c>
      <c r="F29" s="119" t="s">
        <v>123</v>
      </c>
    </row>
    <row r="30" spans="1:36" ht="18.5" x14ac:dyDescent="0.45">
      <c r="A30" s="116">
        <v>5784431.0999999996</v>
      </c>
      <c r="B30" s="116">
        <v>536.29999999999995</v>
      </c>
      <c r="C30" s="116">
        <v>1139.5999999999999</v>
      </c>
      <c r="D30" s="117">
        <f>$A$30/1000</f>
        <v>5784.4310999999998</v>
      </c>
      <c r="E30" s="116">
        <f>B30/1000</f>
        <v>0.5363</v>
      </c>
      <c r="F30" s="118">
        <f>C30/1000</f>
        <v>1.1395999999999999</v>
      </c>
    </row>
    <row r="31" spans="1:36" ht="15" thickBot="1" x14ac:dyDescent="0.4"/>
    <row r="32" spans="1:36" ht="18.5" x14ac:dyDescent="0.45">
      <c r="A32" s="103" t="s">
        <v>29</v>
      </c>
      <c r="B32" s="122" t="s">
        <v>124</v>
      </c>
      <c r="C32" s="89">
        <v>2020</v>
      </c>
      <c r="D32" s="79">
        <v>2021</v>
      </c>
      <c r="E32" s="79">
        <v>2022</v>
      </c>
      <c r="F32" s="79">
        <v>2023</v>
      </c>
      <c r="G32" s="79">
        <v>2024</v>
      </c>
      <c r="H32" s="79">
        <v>2025</v>
      </c>
      <c r="I32" s="79">
        <v>2026</v>
      </c>
      <c r="J32" s="79">
        <v>2027</v>
      </c>
      <c r="K32" s="79">
        <v>2028</v>
      </c>
      <c r="L32" s="79">
        <v>2029</v>
      </c>
      <c r="M32" s="79">
        <v>2030</v>
      </c>
      <c r="N32" s="79">
        <v>2031</v>
      </c>
      <c r="O32" s="79">
        <v>2032</v>
      </c>
      <c r="P32" s="79">
        <v>2033</v>
      </c>
      <c r="Q32" s="79">
        <v>2034</v>
      </c>
      <c r="R32" s="79">
        <v>2035</v>
      </c>
      <c r="S32" s="79">
        <v>2036</v>
      </c>
      <c r="T32" s="79">
        <v>2037</v>
      </c>
      <c r="U32" s="79">
        <v>2038</v>
      </c>
      <c r="V32" s="79">
        <v>2039</v>
      </c>
      <c r="W32" s="79">
        <v>2040</v>
      </c>
      <c r="X32" s="79">
        <v>2041</v>
      </c>
      <c r="Y32" s="79">
        <v>2042</v>
      </c>
      <c r="Z32" s="79">
        <v>2043</v>
      </c>
      <c r="AA32" s="79">
        <v>2044</v>
      </c>
      <c r="AB32" s="79">
        <v>2045</v>
      </c>
      <c r="AC32" s="79">
        <v>2046</v>
      </c>
      <c r="AD32" s="79">
        <v>2047</v>
      </c>
      <c r="AE32" s="79">
        <v>2048</v>
      </c>
      <c r="AF32" s="79">
        <v>2049</v>
      </c>
      <c r="AG32" s="79">
        <v>2050</v>
      </c>
    </row>
    <row r="33" spans="1:34" ht="18.5" x14ac:dyDescent="0.45">
      <c r="A33" s="127" t="s">
        <v>21</v>
      </c>
      <c r="B33" s="128">
        <v>5784.43</v>
      </c>
      <c r="C33" s="89">
        <v>0</v>
      </c>
      <c r="D33" s="79">
        <v>0</v>
      </c>
      <c r="E33" s="79">
        <v>0</v>
      </c>
      <c r="F33" s="79">
        <v>0</v>
      </c>
      <c r="G33" s="79">
        <v>0</v>
      </c>
      <c r="H33" s="79">
        <v>0</v>
      </c>
      <c r="I33" s="79">
        <v>0</v>
      </c>
      <c r="J33" s="79">
        <v>58</v>
      </c>
      <c r="K33" s="79">
        <v>60</v>
      </c>
      <c r="L33" s="79">
        <v>61</v>
      </c>
      <c r="M33" s="79">
        <v>62</v>
      </c>
      <c r="N33" s="79">
        <v>63</v>
      </c>
      <c r="O33" s="79">
        <v>64</v>
      </c>
      <c r="P33" s="79">
        <v>65</v>
      </c>
      <c r="Q33" s="79">
        <v>66</v>
      </c>
      <c r="R33" s="79">
        <v>67</v>
      </c>
      <c r="S33" s="79">
        <v>69</v>
      </c>
      <c r="T33" s="79">
        <v>70</v>
      </c>
      <c r="U33" s="79">
        <v>71</v>
      </c>
      <c r="V33" s="79">
        <v>72</v>
      </c>
      <c r="W33" s="79">
        <v>73</v>
      </c>
      <c r="X33" s="79">
        <v>74</v>
      </c>
      <c r="Y33" s="79">
        <v>75</v>
      </c>
      <c r="Z33" s="79">
        <v>77</v>
      </c>
      <c r="AA33" s="79">
        <v>78</v>
      </c>
      <c r="AB33" s="79">
        <v>79</v>
      </c>
      <c r="AC33" s="79">
        <v>80</v>
      </c>
      <c r="AD33" s="79">
        <v>81</v>
      </c>
      <c r="AE33" s="79">
        <v>82</v>
      </c>
      <c r="AF33" s="79">
        <v>83</v>
      </c>
      <c r="AG33" s="79">
        <v>84</v>
      </c>
    </row>
    <row r="34" spans="1:34" ht="18.5" x14ac:dyDescent="0.45">
      <c r="A34" s="127" t="s">
        <v>22</v>
      </c>
      <c r="B34" s="128">
        <v>0.54</v>
      </c>
      <c r="C34" s="102">
        <v>0</v>
      </c>
      <c r="D34" s="79">
        <v>0</v>
      </c>
      <c r="E34" s="79">
        <v>0</v>
      </c>
      <c r="F34" s="79">
        <v>0</v>
      </c>
      <c r="G34" s="79">
        <v>0</v>
      </c>
      <c r="H34" s="79">
        <v>0</v>
      </c>
      <c r="I34" s="79">
        <v>0</v>
      </c>
      <c r="J34" s="80">
        <v>827400</v>
      </c>
      <c r="K34" s="80">
        <v>840600</v>
      </c>
      <c r="L34" s="80">
        <v>854000</v>
      </c>
      <c r="M34" s="80">
        <v>867600</v>
      </c>
      <c r="N34" s="80">
        <v>867600</v>
      </c>
      <c r="O34" s="80">
        <v>867600</v>
      </c>
      <c r="P34" s="80">
        <v>867600</v>
      </c>
      <c r="Q34" s="80">
        <v>867600</v>
      </c>
      <c r="R34" s="80">
        <v>867600</v>
      </c>
      <c r="S34" s="80">
        <v>867600</v>
      </c>
      <c r="T34" s="80">
        <v>867600</v>
      </c>
      <c r="U34" s="80">
        <v>867600</v>
      </c>
      <c r="V34" s="80">
        <v>867600</v>
      </c>
      <c r="W34" s="80">
        <v>867600</v>
      </c>
      <c r="X34" s="80">
        <v>867600</v>
      </c>
      <c r="Y34" s="80">
        <v>867600</v>
      </c>
      <c r="Z34" s="80">
        <v>867600</v>
      </c>
      <c r="AA34" s="80">
        <v>867600</v>
      </c>
      <c r="AB34" s="80">
        <v>867600</v>
      </c>
      <c r="AC34" s="80">
        <v>867600</v>
      </c>
      <c r="AD34" s="80">
        <v>867600</v>
      </c>
      <c r="AE34" s="80">
        <v>867600</v>
      </c>
      <c r="AF34" s="80">
        <v>867600</v>
      </c>
      <c r="AG34" s="80">
        <v>867600</v>
      </c>
    </row>
    <row r="35" spans="1:34" ht="19" thickBot="1" x14ac:dyDescent="0.5">
      <c r="A35" s="129" t="s">
        <v>23</v>
      </c>
      <c r="B35" s="130">
        <v>1.1399999999999999</v>
      </c>
      <c r="C35" s="102">
        <v>0</v>
      </c>
      <c r="D35" s="79">
        <v>0</v>
      </c>
      <c r="E35" s="79">
        <v>0</v>
      </c>
      <c r="F35" s="79">
        <v>0</v>
      </c>
      <c r="G35" s="79">
        <v>0</v>
      </c>
      <c r="H35" s="79">
        <v>0</v>
      </c>
      <c r="I35" s="79">
        <v>0</v>
      </c>
      <c r="J35" s="80">
        <v>17100</v>
      </c>
      <c r="K35" s="80">
        <v>17400</v>
      </c>
      <c r="L35" s="80">
        <v>17700</v>
      </c>
      <c r="M35" s="80">
        <v>18100</v>
      </c>
      <c r="N35" s="80">
        <v>18100</v>
      </c>
      <c r="O35" s="80">
        <v>18100</v>
      </c>
      <c r="P35" s="80">
        <v>18100</v>
      </c>
      <c r="Q35" s="80">
        <v>18100</v>
      </c>
      <c r="R35" s="80">
        <v>18100</v>
      </c>
      <c r="S35" s="80">
        <v>18100</v>
      </c>
      <c r="T35" s="80">
        <v>18100</v>
      </c>
      <c r="U35" s="80">
        <v>18100</v>
      </c>
      <c r="V35" s="80">
        <v>18100</v>
      </c>
      <c r="W35" s="80">
        <v>18100</v>
      </c>
      <c r="X35" s="80">
        <v>18100</v>
      </c>
      <c r="Y35" s="80">
        <v>18100</v>
      </c>
      <c r="Z35" s="80">
        <v>18100</v>
      </c>
      <c r="AA35" s="80">
        <v>18100</v>
      </c>
      <c r="AB35" s="80">
        <v>18100</v>
      </c>
      <c r="AC35" s="80">
        <v>18100</v>
      </c>
      <c r="AD35" s="80">
        <v>18100</v>
      </c>
      <c r="AE35" s="80">
        <v>18100</v>
      </c>
      <c r="AF35" s="80">
        <v>18100</v>
      </c>
      <c r="AG35" s="80">
        <v>18100</v>
      </c>
    </row>
    <row r="36" spans="1:34" ht="15" thickBot="1" x14ac:dyDescent="0.4">
      <c r="B36" s="70"/>
      <c r="C36" s="1"/>
      <c r="J36" s="1"/>
      <c r="K36" s="1"/>
      <c r="L36" s="1"/>
      <c r="M36" s="1"/>
      <c r="N36" s="1"/>
      <c r="O36" s="1"/>
      <c r="P36" s="1"/>
      <c r="Q36" s="1"/>
      <c r="R36" s="1"/>
      <c r="S36" s="1"/>
      <c r="T36" s="1"/>
      <c r="U36" s="1"/>
      <c r="V36" s="1"/>
      <c r="W36" s="1"/>
      <c r="X36" s="1"/>
      <c r="Y36" s="1"/>
      <c r="Z36" s="1"/>
      <c r="AA36" s="1"/>
      <c r="AB36" s="1"/>
      <c r="AC36" s="1"/>
      <c r="AD36" s="1"/>
      <c r="AE36" s="1"/>
      <c r="AF36" s="1"/>
      <c r="AG36" s="1"/>
    </row>
    <row r="37" spans="1:34" ht="18.5" x14ac:dyDescent="0.45">
      <c r="A37" s="103" t="s">
        <v>125</v>
      </c>
      <c r="B37" s="126" t="s">
        <v>117</v>
      </c>
      <c r="C37" s="89">
        <v>2020</v>
      </c>
      <c r="D37" s="79">
        <v>2021</v>
      </c>
      <c r="E37" s="79">
        <v>2022</v>
      </c>
      <c r="F37" s="79">
        <v>2023</v>
      </c>
      <c r="G37" s="79">
        <v>2024</v>
      </c>
      <c r="H37" s="79">
        <v>2025</v>
      </c>
      <c r="I37" s="79">
        <v>2026</v>
      </c>
      <c r="J37" s="79">
        <v>2027</v>
      </c>
      <c r="K37" s="79">
        <v>2028</v>
      </c>
      <c r="L37" s="79">
        <v>2029</v>
      </c>
      <c r="M37" s="79">
        <v>2030</v>
      </c>
      <c r="N37" s="79">
        <v>2031</v>
      </c>
      <c r="O37" s="79">
        <v>2032</v>
      </c>
      <c r="P37" s="79">
        <v>2033</v>
      </c>
      <c r="Q37" s="79">
        <v>2034</v>
      </c>
      <c r="R37" s="79">
        <v>2035</v>
      </c>
      <c r="S37" s="79">
        <v>2036</v>
      </c>
      <c r="T37" s="79">
        <v>2037</v>
      </c>
      <c r="U37" s="79">
        <v>2038</v>
      </c>
      <c r="V37" s="79">
        <v>2039</v>
      </c>
      <c r="W37" s="79">
        <v>2040</v>
      </c>
      <c r="X37" s="79">
        <v>2041</v>
      </c>
      <c r="Y37" s="79">
        <v>2042</v>
      </c>
      <c r="Z37" s="79">
        <v>2043</v>
      </c>
      <c r="AA37" s="79">
        <v>2044</v>
      </c>
      <c r="AB37" s="79">
        <v>2045</v>
      </c>
      <c r="AC37" s="79">
        <v>2046</v>
      </c>
      <c r="AD37" s="79">
        <v>2047</v>
      </c>
      <c r="AE37" s="79">
        <v>2048</v>
      </c>
      <c r="AF37" s="79">
        <v>2049</v>
      </c>
      <c r="AG37" s="79">
        <v>2050</v>
      </c>
      <c r="AH37" s="88" t="s">
        <v>131</v>
      </c>
    </row>
    <row r="38" spans="1:34" ht="18.5" x14ac:dyDescent="0.45">
      <c r="A38" s="127" t="s">
        <v>21</v>
      </c>
      <c r="B38" s="128">
        <f>5784.43/20</f>
        <v>289.22149999999999</v>
      </c>
      <c r="C38" s="102">
        <v>0</v>
      </c>
      <c r="D38" s="79">
        <v>0</v>
      </c>
      <c r="E38" s="79">
        <v>0</v>
      </c>
      <c r="F38" s="79">
        <v>0</v>
      </c>
      <c r="G38" s="79">
        <v>0</v>
      </c>
      <c r="H38" s="79">
        <v>0</v>
      </c>
      <c r="I38" s="79">
        <v>0</v>
      </c>
      <c r="J38" s="80">
        <v>0</v>
      </c>
      <c r="K38" s="80">
        <v>0</v>
      </c>
      <c r="L38" s="80">
        <v>0</v>
      </c>
      <c r="M38" s="81">
        <f>M33*$B$38</f>
        <v>17931.733</v>
      </c>
      <c r="N38" s="81">
        <f t="shared" ref="N38:AG38" si="10">N33*$B$38</f>
        <v>18220.9545</v>
      </c>
      <c r="O38" s="81">
        <f>O33*$B$38</f>
        <v>18510.175999999999</v>
      </c>
      <c r="P38" s="81">
        <f t="shared" si="10"/>
        <v>18799.397499999999</v>
      </c>
      <c r="Q38" s="81">
        <f t="shared" si="10"/>
        <v>19088.618999999999</v>
      </c>
      <c r="R38" s="81">
        <f t="shared" si="10"/>
        <v>19377.840499999998</v>
      </c>
      <c r="S38" s="81">
        <f t="shared" si="10"/>
        <v>19956.283499999998</v>
      </c>
      <c r="T38" s="81">
        <f t="shared" si="10"/>
        <v>20245.505000000001</v>
      </c>
      <c r="U38" s="81">
        <f t="shared" si="10"/>
        <v>20534.726500000001</v>
      </c>
      <c r="V38" s="81">
        <f t="shared" si="10"/>
        <v>20823.948</v>
      </c>
      <c r="W38" s="81">
        <f t="shared" si="10"/>
        <v>21113.1695</v>
      </c>
      <c r="X38" s="81">
        <f t="shared" si="10"/>
        <v>21402.391</v>
      </c>
      <c r="Y38" s="81">
        <f t="shared" si="10"/>
        <v>21691.612499999999</v>
      </c>
      <c r="Z38" s="81">
        <f t="shared" si="10"/>
        <v>22270.055499999999</v>
      </c>
      <c r="AA38" s="81">
        <f t="shared" si="10"/>
        <v>22559.276999999998</v>
      </c>
      <c r="AB38" s="81">
        <f t="shared" si="10"/>
        <v>22848.498499999998</v>
      </c>
      <c r="AC38" s="81">
        <f t="shared" si="10"/>
        <v>23137.72</v>
      </c>
      <c r="AD38" s="81">
        <f t="shared" si="10"/>
        <v>23426.941500000001</v>
      </c>
      <c r="AE38" s="81">
        <f t="shared" si="10"/>
        <v>23716.163</v>
      </c>
      <c r="AF38" s="81">
        <f t="shared" si="10"/>
        <v>24005.3845</v>
      </c>
      <c r="AG38" s="81">
        <f t="shared" si="10"/>
        <v>24294.606</v>
      </c>
      <c r="AH38" s="121">
        <f>SUM(M38:AG38)/20</f>
        <v>22197.750124999999</v>
      </c>
    </row>
    <row r="39" spans="1:34" ht="18.5" x14ac:dyDescent="0.45">
      <c r="A39" s="127" t="s">
        <v>22</v>
      </c>
      <c r="B39" s="128">
        <f>0.54/20</f>
        <v>2.7000000000000003E-2</v>
      </c>
      <c r="C39" s="102">
        <v>0</v>
      </c>
      <c r="D39" s="79">
        <v>0</v>
      </c>
      <c r="E39" s="79">
        <v>0</v>
      </c>
      <c r="F39" s="79">
        <v>0</v>
      </c>
      <c r="G39" s="79">
        <v>0</v>
      </c>
      <c r="H39" s="79">
        <v>0</v>
      </c>
      <c r="I39" s="79">
        <v>0</v>
      </c>
      <c r="J39" s="80">
        <v>0</v>
      </c>
      <c r="K39" s="80">
        <v>0</v>
      </c>
      <c r="L39" s="80">
        <v>0</v>
      </c>
      <c r="M39" s="81">
        <f>M34*$B$39</f>
        <v>23425.200000000004</v>
      </c>
      <c r="N39" s="81">
        <f t="shared" ref="N39:AG39" si="11">N34*$B$39</f>
        <v>23425.200000000004</v>
      </c>
      <c r="O39" s="81">
        <f t="shared" si="11"/>
        <v>23425.200000000004</v>
      </c>
      <c r="P39" s="81">
        <f t="shared" si="11"/>
        <v>23425.200000000004</v>
      </c>
      <c r="Q39" s="81">
        <f t="shared" si="11"/>
        <v>23425.200000000004</v>
      </c>
      <c r="R39" s="81">
        <f t="shared" si="11"/>
        <v>23425.200000000004</v>
      </c>
      <c r="S39" s="81">
        <f t="shared" si="11"/>
        <v>23425.200000000004</v>
      </c>
      <c r="T39" s="81">
        <f t="shared" si="11"/>
        <v>23425.200000000004</v>
      </c>
      <c r="U39" s="81">
        <f t="shared" si="11"/>
        <v>23425.200000000004</v>
      </c>
      <c r="V39" s="81">
        <f t="shared" si="11"/>
        <v>23425.200000000004</v>
      </c>
      <c r="W39" s="81">
        <f t="shared" si="11"/>
        <v>23425.200000000004</v>
      </c>
      <c r="X39" s="81">
        <f t="shared" si="11"/>
        <v>23425.200000000004</v>
      </c>
      <c r="Y39" s="81">
        <f t="shared" si="11"/>
        <v>23425.200000000004</v>
      </c>
      <c r="Z39" s="81">
        <f t="shared" si="11"/>
        <v>23425.200000000004</v>
      </c>
      <c r="AA39" s="81">
        <f t="shared" si="11"/>
        <v>23425.200000000004</v>
      </c>
      <c r="AB39" s="81">
        <f t="shared" si="11"/>
        <v>23425.200000000004</v>
      </c>
      <c r="AC39" s="81">
        <f t="shared" si="11"/>
        <v>23425.200000000004</v>
      </c>
      <c r="AD39" s="81">
        <f t="shared" si="11"/>
        <v>23425.200000000004</v>
      </c>
      <c r="AE39" s="81">
        <f t="shared" si="11"/>
        <v>23425.200000000004</v>
      </c>
      <c r="AF39" s="81">
        <f t="shared" si="11"/>
        <v>23425.200000000004</v>
      </c>
      <c r="AG39" s="81">
        <f t="shared" si="11"/>
        <v>23425.200000000004</v>
      </c>
      <c r="AH39" s="121">
        <f>SUM(M39:AG39)/20</f>
        <v>24596.46000000001</v>
      </c>
    </row>
    <row r="40" spans="1:34" ht="19" thickBot="1" x14ac:dyDescent="0.5">
      <c r="A40" s="129" t="s">
        <v>23</v>
      </c>
      <c r="B40" s="130">
        <f>1.14/20</f>
        <v>5.6999999999999995E-2</v>
      </c>
      <c r="C40" s="102">
        <v>0</v>
      </c>
      <c r="D40" s="79">
        <v>0</v>
      </c>
      <c r="E40" s="79">
        <v>0</v>
      </c>
      <c r="F40" s="79">
        <v>0</v>
      </c>
      <c r="G40" s="79">
        <v>0</v>
      </c>
      <c r="H40" s="79">
        <v>0</v>
      </c>
      <c r="I40" s="79">
        <v>0</v>
      </c>
      <c r="J40" s="80">
        <v>0</v>
      </c>
      <c r="K40" s="80">
        <v>0</v>
      </c>
      <c r="L40" s="80">
        <v>0</v>
      </c>
      <c r="M40" s="81">
        <f>M35*$B$40</f>
        <v>1031.6999999999998</v>
      </c>
      <c r="N40" s="81">
        <f t="shared" ref="N40:AG40" si="12">N35*$B$40</f>
        <v>1031.6999999999998</v>
      </c>
      <c r="O40" s="81">
        <f t="shared" si="12"/>
        <v>1031.6999999999998</v>
      </c>
      <c r="P40" s="81">
        <f t="shared" si="12"/>
        <v>1031.6999999999998</v>
      </c>
      <c r="Q40" s="81">
        <f t="shared" si="12"/>
        <v>1031.6999999999998</v>
      </c>
      <c r="R40" s="81">
        <f t="shared" si="12"/>
        <v>1031.6999999999998</v>
      </c>
      <c r="S40" s="81">
        <f t="shared" si="12"/>
        <v>1031.6999999999998</v>
      </c>
      <c r="T40" s="81">
        <f t="shared" si="12"/>
        <v>1031.6999999999998</v>
      </c>
      <c r="U40" s="81">
        <f t="shared" si="12"/>
        <v>1031.6999999999998</v>
      </c>
      <c r="V40" s="81">
        <f t="shared" si="12"/>
        <v>1031.6999999999998</v>
      </c>
      <c r="W40" s="81">
        <f t="shared" si="12"/>
        <v>1031.6999999999998</v>
      </c>
      <c r="X40" s="81">
        <f t="shared" si="12"/>
        <v>1031.6999999999998</v>
      </c>
      <c r="Y40" s="81">
        <f t="shared" si="12"/>
        <v>1031.6999999999998</v>
      </c>
      <c r="Z40" s="81">
        <f t="shared" si="12"/>
        <v>1031.6999999999998</v>
      </c>
      <c r="AA40" s="81">
        <f t="shared" si="12"/>
        <v>1031.6999999999998</v>
      </c>
      <c r="AB40" s="81">
        <f t="shared" si="12"/>
        <v>1031.6999999999998</v>
      </c>
      <c r="AC40" s="81">
        <f t="shared" si="12"/>
        <v>1031.6999999999998</v>
      </c>
      <c r="AD40" s="81">
        <f t="shared" si="12"/>
        <v>1031.6999999999998</v>
      </c>
      <c r="AE40" s="81">
        <f t="shared" si="12"/>
        <v>1031.6999999999998</v>
      </c>
      <c r="AF40" s="81">
        <f t="shared" si="12"/>
        <v>1031.6999999999998</v>
      </c>
      <c r="AG40" s="81">
        <f t="shared" si="12"/>
        <v>1031.6999999999998</v>
      </c>
      <c r="AH40" s="96">
        <f>SUM(M40:AG40)/20</f>
        <v>1083.2850000000003</v>
      </c>
    </row>
    <row r="41" spans="1:34" ht="15" thickBot="1" x14ac:dyDescent="0.4">
      <c r="B41" s="13"/>
    </row>
    <row r="42" spans="1:34" ht="18.5" x14ac:dyDescent="0.45">
      <c r="A42" s="103" t="s">
        <v>126</v>
      </c>
      <c r="B42" s="122" t="s">
        <v>18</v>
      </c>
      <c r="C42" s="89">
        <v>2020</v>
      </c>
      <c r="D42" s="79">
        <v>2021</v>
      </c>
      <c r="E42" s="79">
        <v>2022</v>
      </c>
      <c r="F42" s="79">
        <v>2023</v>
      </c>
      <c r="G42" s="79">
        <v>2024</v>
      </c>
      <c r="H42" s="79">
        <v>2025</v>
      </c>
      <c r="I42" s="79">
        <v>2026</v>
      </c>
      <c r="J42" s="79">
        <v>2027</v>
      </c>
      <c r="K42" s="79">
        <v>2028</v>
      </c>
      <c r="L42" s="79">
        <v>2029</v>
      </c>
      <c r="M42" s="79">
        <v>2030</v>
      </c>
      <c r="N42" s="79">
        <v>2031</v>
      </c>
      <c r="O42" s="79">
        <v>2032</v>
      </c>
      <c r="P42" s="79">
        <v>2033</v>
      </c>
      <c r="Q42" s="79">
        <v>2034</v>
      </c>
      <c r="R42" s="79">
        <v>2035</v>
      </c>
      <c r="S42" s="79">
        <v>2036</v>
      </c>
      <c r="T42" s="79">
        <v>2037</v>
      </c>
      <c r="U42" s="79">
        <v>2038</v>
      </c>
      <c r="V42" s="79">
        <v>2039</v>
      </c>
      <c r="W42" s="79">
        <v>2040</v>
      </c>
      <c r="X42" s="79">
        <v>2041</v>
      </c>
      <c r="Y42" s="79">
        <v>2042</v>
      </c>
      <c r="Z42" s="79">
        <v>2043</v>
      </c>
      <c r="AA42" s="79">
        <v>2044</v>
      </c>
      <c r="AB42" s="79">
        <v>2045</v>
      </c>
      <c r="AC42" s="79">
        <v>2046</v>
      </c>
      <c r="AD42" s="79">
        <v>2047</v>
      </c>
      <c r="AE42" s="79">
        <v>2048</v>
      </c>
      <c r="AF42" s="79">
        <v>2049</v>
      </c>
      <c r="AG42" s="79">
        <v>2050</v>
      </c>
    </row>
    <row r="43" spans="1:34" ht="18.5" x14ac:dyDescent="0.45">
      <c r="A43" s="123">
        <f>SUM(M43:AG43)</f>
        <v>245617.0178754926</v>
      </c>
      <c r="B43" s="124">
        <v>0.03</v>
      </c>
      <c r="C43" s="102">
        <v>0</v>
      </c>
      <c r="D43" s="79">
        <v>0</v>
      </c>
      <c r="E43" s="79">
        <v>0</v>
      </c>
      <c r="F43" s="79">
        <v>0</v>
      </c>
      <c r="G43" s="79">
        <v>0</v>
      </c>
      <c r="H43" s="79">
        <v>0</v>
      </c>
      <c r="I43" s="79">
        <v>0</v>
      </c>
      <c r="J43" s="79"/>
      <c r="K43" s="80">
        <v>0</v>
      </c>
      <c r="L43" s="80">
        <v>0</v>
      </c>
      <c r="M43" s="81">
        <f>M38*(1+$B$43)^-(M42-2020)</f>
        <v>13342.893408852799</v>
      </c>
      <c r="N43" s="81">
        <f t="shared" ref="N43:AG43" si="13">N38*(1+$B$43)^-(N42-2020)</f>
        <v>13163.205210737962</v>
      </c>
      <c r="O43" s="81">
        <f t="shared" si="13"/>
        <v>12982.665025230848</v>
      </c>
      <c r="P43" s="81">
        <f t="shared" si="13"/>
        <v>12801.474918689399</v>
      </c>
      <c r="Q43" s="81">
        <f t="shared" si="13"/>
        <v>12619.825909387604</v>
      </c>
      <c r="R43" s="81">
        <f t="shared" si="13"/>
        <v>12437.898439672983</v>
      </c>
      <c r="S43" s="81">
        <f t="shared" si="13"/>
        <v>12436.096106903869</v>
      </c>
      <c r="T43" s="81">
        <f t="shared" si="13"/>
        <v>12248.863479432546</v>
      </c>
      <c r="U43" s="81">
        <f t="shared" si="13"/>
        <v>12061.987614975184</v>
      </c>
      <c r="V43" s="81">
        <f t="shared" si="13"/>
        <v>11875.606567458131</v>
      </c>
      <c r="W43" s="81">
        <f t="shared" si="13"/>
        <v>11689.850046176425</v>
      </c>
      <c r="X43" s="81">
        <f t="shared" si="13"/>
        <v>11504.839784772648</v>
      </c>
      <c r="Y43" s="81">
        <f t="shared" si="13"/>
        <v>11320.689895800953</v>
      </c>
      <c r="Z43" s="81">
        <f t="shared" si="13"/>
        <v>11284.053358921337</v>
      </c>
      <c r="AA43" s="81">
        <f t="shared" si="13"/>
        <v>11097.669423727959</v>
      </c>
      <c r="AB43" s="81">
        <f t="shared" si="13"/>
        <v>10912.570132866675</v>
      </c>
      <c r="AC43" s="81">
        <f t="shared" si="13"/>
        <v>10728.838768948435</v>
      </c>
      <c r="AD43" s="81">
        <f t="shared" si="13"/>
        <v>10546.552673359505</v>
      </c>
      <c r="AE43" s="81">
        <f t="shared" si="13"/>
        <v>10365.783521700581</v>
      </c>
      <c r="AF43" s="81">
        <f t="shared" si="13"/>
        <v>10186.597588221031</v>
      </c>
      <c r="AG43" s="81">
        <f t="shared" si="13"/>
        <v>10009.055999655709</v>
      </c>
    </row>
    <row r="44" spans="1:34" ht="18.5" x14ac:dyDescent="0.45">
      <c r="A44" s="123">
        <f>SUM(M44:AG44)</f>
        <v>138063.65305732124</v>
      </c>
      <c r="B44" s="195">
        <v>7.0000000000000007E-2</v>
      </c>
      <c r="C44" s="102">
        <v>0</v>
      </c>
      <c r="D44" s="79">
        <v>0</v>
      </c>
      <c r="E44" s="79">
        <v>0</v>
      </c>
      <c r="F44" s="79">
        <v>0</v>
      </c>
      <c r="G44" s="79">
        <v>0</v>
      </c>
      <c r="H44" s="79">
        <v>0</v>
      </c>
      <c r="I44" s="79">
        <v>0</v>
      </c>
      <c r="J44" s="79">
        <v>0</v>
      </c>
      <c r="K44" s="80">
        <v>0</v>
      </c>
      <c r="L44" s="80">
        <v>0</v>
      </c>
      <c r="M44" s="81">
        <f>M39*(1+$B$44)^-(M42-2020)</f>
        <v>11908.183838114193</v>
      </c>
      <c r="N44" s="81">
        <f t="shared" ref="N44:AG44" si="14">N39*(1+$B$44)^-(N42-2020)</f>
        <v>11129.143773938496</v>
      </c>
      <c r="O44" s="81">
        <f t="shared" si="14"/>
        <v>10401.068947606074</v>
      </c>
      <c r="P44" s="81">
        <f t="shared" si="14"/>
        <v>9720.6251846785726</v>
      </c>
      <c r="Q44" s="81">
        <f t="shared" si="14"/>
        <v>9084.6964342790416</v>
      </c>
      <c r="R44" s="81">
        <f t="shared" si="14"/>
        <v>8490.3704993262054</v>
      </c>
      <c r="S44" s="81">
        <f t="shared" si="14"/>
        <v>7934.925700304866</v>
      </c>
      <c r="T44" s="81">
        <f t="shared" si="14"/>
        <v>7415.8184114998749</v>
      </c>
      <c r="U44" s="81">
        <f t="shared" si="14"/>
        <v>6930.6714126167044</v>
      </c>
      <c r="V44" s="81">
        <f t="shared" si="14"/>
        <v>6477.2630024455184</v>
      </c>
      <c r="W44" s="81">
        <f t="shared" si="14"/>
        <v>6053.5168247154379</v>
      </c>
      <c r="X44" s="81">
        <f t="shared" si="14"/>
        <v>5657.4923595471382</v>
      </c>
      <c r="Y44" s="81">
        <f t="shared" si="14"/>
        <v>5287.3760369599422</v>
      </c>
      <c r="Z44" s="81">
        <f t="shared" si="14"/>
        <v>4941.4729317382635</v>
      </c>
      <c r="AA44" s="81">
        <f t="shared" si="14"/>
        <v>4618.1990016245454</v>
      </c>
      <c r="AB44" s="81">
        <f t="shared" si="14"/>
        <v>4316.0738332939673</v>
      </c>
      <c r="AC44" s="81">
        <f t="shared" si="14"/>
        <v>4033.7138628915591</v>
      </c>
      <c r="AD44" s="81">
        <f t="shared" si="14"/>
        <v>3769.8260400855679</v>
      </c>
      <c r="AE44" s="81">
        <f t="shared" si="14"/>
        <v>3523.2019066220269</v>
      </c>
      <c r="AF44" s="81">
        <f t="shared" si="14"/>
        <v>3292.7120622635766</v>
      </c>
      <c r="AG44" s="81">
        <f t="shared" si="14"/>
        <v>3077.300992769698</v>
      </c>
    </row>
    <row r="45" spans="1:34" ht="19" thickBot="1" x14ac:dyDescent="0.5">
      <c r="A45" s="125">
        <f>SUM(M45:AG45)</f>
        <v>6080.6426779382155</v>
      </c>
      <c r="B45" s="196"/>
      <c r="C45" s="102">
        <v>0</v>
      </c>
      <c r="D45" s="79">
        <v>0</v>
      </c>
      <c r="E45" s="79">
        <v>0</v>
      </c>
      <c r="F45" s="79">
        <v>0</v>
      </c>
      <c r="G45" s="79">
        <v>0</v>
      </c>
      <c r="H45" s="79">
        <v>0</v>
      </c>
      <c r="I45" s="79">
        <v>0</v>
      </c>
      <c r="J45" s="79">
        <v>0</v>
      </c>
      <c r="K45" s="80">
        <v>0</v>
      </c>
      <c r="L45" s="80">
        <v>0</v>
      </c>
      <c r="M45" s="81">
        <f>M40*(1+$B$44)^-(M42-2020)</f>
        <v>524.46396469538831</v>
      </c>
      <c r="N45" s="81">
        <f t="shared" ref="N45:AG45" si="15">N40*(1+$B$44)^-(N42-2020)</f>
        <v>490.15323803307308</v>
      </c>
      <c r="O45" s="81">
        <f t="shared" si="15"/>
        <v>458.08713834866649</v>
      </c>
      <c r="P45" s="81">
        <f t="shared" si="15"/>
        <v>428.11882088660417</v>
      </c>
      <c r="Q45" s="81">
        <f t="shared" si="15"/>
        <v>400.11104755757401</v>
      </c>
      <c r="R45" s="81">
        <f t="shared" si="15"/>
        <v>373.93555846502238</v>
      </c>
      <c r="S45" s="81">
        <f t="shared" si="15"/>
        <v>349.47248454674997</v>
      </c>
      <c r="T45" s="81">
        <f t="shared" si="15"/>
        <v>326.60979864182241</v>
      </c>
      <c r="U45" s="81">
        <f t="shared" si="15"/>
        <v>305.24280246899286</v>
      </c>
      <c r="V45" s="81">
        <f t="shared" si="15"/>
        <v>285.27364716728306</v>
      </c>
      <c r="W45" s="81">
        <f t="shared" si="15"/>
        <v>266.61088520306828</v>
      </c>
      <c r="X45" s="81">
        <f t="shared" si="15"/>
        <v>249.16905159165262</v>
      </c>
      <c r="Y45" s="81">
        <f t="shared" si="15"/>
        <v>232.86827251556318</v>
      </c>
      <c r="Z45" s="81">
        <f t="shared" si="15"/>
        <v>217.63389954725528</v>
      </c>
      <c r="AA45" s="81">
        <f t="shared" si="15"/>
        <v>203.39616780117319</v>
      </c>
      <c r="AB45" s="81">
        <f t="shared" si="15"/>
        <v>190.08987644969454</v>
      </c>
      <c r="AC45" s="81">
        <f t="shared" si="15"/>
        <v>177.65409013990146</v>
      </c>
      <c r="AD45" s="81">
        <f t="shared" si="15"/>
        <v>166.0318599438331</v>
      </c>
      <c r="AE45" s="81">
        <f t="shared" si="15"/>
        <v>155.16996256433004</v>
      </c>
      <c r="AF45" s="81">
        <f t="shared" si="15"/>
        <v>145.0186566021776</v>
      </c>
      <c r="AG45" s="81">
        <f t="shared" si="15"/>
        <v>135.53145476839029</v>
      </c>
    </row>
    <row r="47" spans="1:34" ht="18.5" x14ac:dyDescent="0.45">
      <c r="A47" s="188" t="s">
        <v>127</v>
      </c>
      <c r="B47" s="189"/>
    </row>
    <row r="48" spans="1:34" ht="18.5" x14ac:dyDescent="0.45">
      <c r="A48" s="108" t="s">
        <v>128</v>
      </c>
      <c r="B48" s="108" t="s">
        <v>129</v>
      </c>
    </row>
    <row r="49" spans="1:33" ht="18.5" x14ac:dyDescent="0.45">
      <c r="A49" s="81">
        <v>405986.33</v>
      </c>
      <c r="B49" s="81">
        <f>A49/20</f>
        <v>20299.316500000001</v>
      </c>
    </row>
    <row r="50" spans="1:33" ht="15" thickBot="1" x14ac:dyDescent="0.4"/>
    <row r="51" spans="1:33" ht="18.5" x14ac:dyDescent="0.45">
      <c r="A51" s="103" t="s">
        <v>141</v>
      </c>
      <c r="B51" s="122" t="s">
        <v>18</v>
      </c>
      <c r="C51" s="89">
        <v>2020</v>
      </c>
      <c r="D51" s="79">
        <v>2021</v>
      </c>
      <c r="E51" s="79">
        <v>2022</v>
      </c>
      <c r="F51" s="79">
        <v>2023</v>
      </c>
      <c r="G51" s="79">
        <v>2024</v>
      </c>
      <c r="H51" s="79">
        <v>2025</v>
      </c>
      <c r="I51" s="79">
        <v>2026</v>
      </c>
      <c r="J51" s="79">
        <v>2027</v>
      </c>
      <c r="K51" s="79">
        <v>2028</v>
      </c>
      <c r="L51" s="79">
        <v>2029</v>
      </c>
      <c r="M51" s="79">
        <v>2030</v>
      </c>
      <c r="N51" s="79">
        <v>2031</v>
      </c>
      <c r="O51" s="79">
        <v>2032</v>
      </c>
      <c r="P51" s="79">
        <v>2033</v>
      </c>
      <c r="Q51" s="79">
        <v>2034</v>
      </c>
      <c r="R51" s="79">
        <v>2035</v>
      </c>
      <c r="S51" s="79">
        <v>2036</v>
      </c>
      <c r="T51" s="79">
        <v>2037</v>
      </c>
      <c r="U51" s="79">
        <v>2038</v>
      </c>
      <c r="V51" s="79">
        <v>2039</v>
      </c>
      <c r="W51" s="79">
        <v>2040</v>
      </c>
      <c r="X51" s="79">
        <v>2041</v>
      </c>
      <c r="Y51" s="79">
        <v>2042</v>
      </c>
      <c r="Z51" s="79">
        <v>2043</v>
      </c>
      <c r="AA51" s="79">
        <v>2044</v>
      </c>
      <c r="AB51" s="79">
        <v>2045</v>
      </c>
      <c r="AC51" s="79">
        <v>2046</v>
      </c>
      <c r="AD51" s="79">
        <v>2047</v>
      </c>
      <c r="AE51" s="79">
        <v>2048</v>
      </c>
      <c r="AF51" s="79">
        <v>2049</v>
      </c>
      <c r="AG51" s="79">
        <v>2050</v>
      </c>
    </row>
    <row r="52" spans="1:33" ht="19" thickBot="1" x14ac:dyDescent="0.5">
      <c r="A52" s="125">
        <f>SUM(M52:AG52)</f>
        <v>119640.29295616501</v>
      </c>
      <c r="B52" s="134">
        <v>7.0000000000000007E-2</v>
      </c>
      <c r="C52" s="89">
        <v>0</v>
      </c>
      <c r="D52" s="79">
        <v>0</v>
      </c>
      <c r="E52" s="79">
        <v>0</v>
      </c>
      <c r="F52" s="79">
        <v>0</v>
      </c>
      <c r="G52" s="79">
        <v>0</v>
      </c>
      <c r="H52" s="79">
        <v>0</v>
      </c>
      <c r="I52" s="79">
        <v>0</v>
      </c>
      <c r="J52" s="79">
        <v>0</v>
      </c>
      <c r="K52" s="79">
        <v>0</v>
      </c>
      <c r="L52" s="79">
        <v>0</v>
      </c>
      <c r="M52" s="81">
        <f>$B$49*(1+$B$52)^-(M51-2020)</f>
        <v>10319.143173593598</v>
      </c>
      <c r="N52" s="81">
        <f t="shared" ref="N52:AG52" si="16">$B$49*(1+$B$52)^-(N51-2020)</f>
        <v>9644.0590407416785</v>
      </c>
      <c r="O52" s="81">
        <f t="shared" si="16"/>
        <v>9013.1392904127861</v>
      </c>
      <c r="P52" s="81">
        <f t="shared" si="16"/>
        <v>8423.494663937181</v>
      </c>
      <c r="Q52" s="81">
        <f t="shared" si="16"/>
        <v>7872.4249195674602</v>
      </c>
      <c r="R52" s="81">
        <f t="shared" si="16"/>
        <v>7357.4064668854762</v>
      </c>
      <c r="S52" s="81">
        <f t="shared" si="16"/>
        <v>6876.0808101733428</v>
      </c>
      <c r="T52" s="81">
        <f t="shared" si="16"/>
        <v>6426.2437478255542</v>
      </c>
      <c r="U52" s="81">
        <f t="shared" si="16"/>
        <v>6005.8352783416385</v>
      </c>
      <c r="V52" s="81">
        <f t="shared" si="16"/>
        <v>5612.9301666744286</v>
      </c>
      <c r="W52" s="81">
        <f t="shared" si="16"/>
        <v>5245.7291277331115</v>
      </c>
      <c r="X52" s="81">
        <f t="shared" si="16"/>
        <v>4902.5505866664598</v>
      </c>
      <c r="Y52" s="81">
        <f t="shared" si="16"/>
        <v>4581.8229781929531</v>
      </c>
      <c r="Z52" s="81">
        <f t="shared" si="16"/>
        <v>4282.0775497130398</v>
      </c>
      <c r="AA52" s="81">
        <f t="shared" si="16"/>
        <v>4001.9416352458315</v>
      </c>
      <c r="AB52" s="81">
        <f t="shared" si="16"/>
        <v>3740.132369388627</v>
      </c>
      <c r="AC52" s="81">
        <f t="shared" si="16"/>
        <v>3495.4508125127363</v>
      </c>
      <c r="AD52" s="81">
        <f t="shared" si="16"/>
        <v>3266.7764602922762</v>
      </c>
      <c r="AE52" s="81">
        <f t="shared" si="16"/>
        <v>3053.0621124226882</v>
      </c>
      <c r="AF52" s="81">
        <f t="shared" si="16"/>
        <v>2853.3290770305498</v>
      </c>
      <c r="AG52" s="81">
        <f t="shared" si="16"/>
        <v>2666.6626888135984</v>
      </c>
    </row>
    <row r="54" spans="1:33" ht="18.5" x14ac:dyDescent="0.45">
      <c r="A54" s="133" t="s">
        <v>130</v>
      </c>
      <c r="B54" s="133" t="s">
        <v>129</v>
      </c>
    </row>
    <row r="55" spans="1:33" ht="18.5" x14ac:dyDescent="0.45">
      <c r="A55" s="86">
        <f>SUM(A43:A45,A52)</f>
        <v>509401.60656691703</v>
      </c>
      <c r="B55" s="86">
        <f>SUM(B49,AH38:AH40)</f>
        <v>68176.811625000017</v>
      </c>
    </row>
    <row r="56" spans="1:33" x14ac:dyDescent="0.35">
      <c r="A56" s="27"/>
    </row>
    <row r="57" spans="1:33" ht="18.5" x14ac:dyDescent="0.45">
      <c r="A57" s="190" t="s">
        <v>133</v>
      </c>
      <c r="B57" s="191"/>
    </row>
    <row r="58" spans="1:33" ht="18.5" x14ac:dyDescent="0.45">
      <c r="A58" s="135" t="s">
        <v>27</v>
      </c>
      <c r="B58" s="136" t="s">
        <v>134</v>
      </c>
    </row>
    <row r="59" spans="1:33" ht="18.5" x14ac:dyDescent="0.45">
      <c r="A59" s="86">
        <f>SUM(A55,A22)</f>
        <v>2482445.6358948485</v>
      </c>
      <c r="B59" s="86">
        <f>SUM(AI17,B55)</f>
        <v>423084.88162500004</v>
      </c>
    </row>
    <row r="60" spans="1:33" x14ac:dyDescent="0.35">
      <c r="A60" s="27"/>
    </row>
    <row r="61" spans="1:33" x14ac:dyDescent="0.35">
      <c r="A61" t="s">
        <v>25</v>
      </c>
    </row>
  </sheetData>
  <mergeCells count="10">
    <mergeCell ref="A47:B47"/>
    <mergeCell ref="A57:B57"/>
    <mergeCell ref="A8:C8"/>
    <mergeCell ref="AI13:AJ13"/>
    <mergeCell ref="A28:B28"/>
    <mergeCell ref="B44:B45"/>
    <mergeCell ref="AI14:AJ14"/>
    <mergeCell ref="AI15:AJ15"/>
    <mergeCell ref="AI16:AJ16"/>
    <mergeCell ref="AI17:AJ1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2564B-DAE0-4A7D-ADE9-6ABDC52D9F51}">
  <dimension ref="A1:AG14"/>
  <sheetViews>
    <sheetView workbookViewId="0">
      <selection activeCell="A14" sqref="A14"/>
    </sheetView>
  </sheetViews>
  <sheetFormatPr defaultRowHeight="14.5" x14ac:dyDescent="0.35"/>
  <cols>
    <col min="1" max="1" width="21.54296875" customWidth="1"/>
    <col min="2" max="2" width="16.54296875" customWidth="1"/>
    <col min="3" max="4" width="11.453125" customWidth="1"/>
    <col min="5" max="5" width="12.1796875" customWidth="1"/>
    <col min="11" max="13" width="8" bestFit="1" customWidth="1"/>
    <col min="14" max="33" width="14.54296875" bestFit="1" customWidth="1"/>
  </cols>
  <sheetData>
    <row r="1" spans="1:33" x14ac:dyDescent="0.35">
      <c r="A1" t="s">
        <v>61</v>
      </c>
    </row>
    <row r="2" spans="1:33" ht="15" thickBot="1" x14ac:dyDescent="0.4"/>
    <row r="3" spans="1:33" ht="22" thickTop="1" thickBot="1" x14ac:dyDescent="0.55000000000000004">
      <c r="A3" s="160" t="s">
        <v>1</v>
      </c>
      <c r="B3" s="161"/>
      <c r="C3" s="160" t="s">
        <v>65</v>
      </c>
      <c r="D3" s="161"/>
      <c r="E3" s="162"/>
    </row>
    <row r="4" spans="1:33" ht="19" thickTop="1" x14ac:dyDescent="0.45">
      <c r="A4" s="184" t="s">
        <v>9</v>
      </c>
      <c r="B4" s="185"/>
      <c r="C4" s="186" t="s">
        <v>10</v>
      </c>
      <c r="D4" s="185"/>
      <c r="E4" s="187"/>
    </row>
    <row r="5" spans="1:33" ht="18.5" x14ac:dyDescent="0.45">
      <c r="A5" s="180" t="s">
        <v>11</v>
      </c>
      <c r="B5" s="181"/>
      <c r="C5" s="182">
        <v>125</v>
      </c>
      <c r="D5" s="181"/>
      <c r="E5" s="183"/>
    </row>
    <row r="6" spans="1:33" ht="18.5" x14ac:dyDescent="0.45">
      <c r="A6" s="180" t="s">
        <v>12</v>
      </c>
      <c r="B6" s="181"/>
      <c r="C6" s="182">
        <v>33</v>
      </c>
      <c r="D6" s="181"/>
      <c r="E6" s="183"/>
    </row>
    <row r="7" spans="1:33" ht="18.5" x14ac:dyDescent="0.45">
      <c r="A7" s="180" t="s">
        <v>13</v>
      </c>
      <c r="B7" s="181"/>
      <c r="C7" s="182">
        <v>7746</v>
      </c>
      <c r="D7" s="181"/>
      <c r="E7" s="183"/>
    </row>
    <row r="8" spans="1:33" ht="18.5" x14ac:dyDescent="0.45">
      <c r="A8" s="180" t="s">
        <v>14</v>
      </c>
      <c r="B8" s="181"/>
      <c r="C8" s="182">
        <v>2097</v>
      </c>
      <c r="D8" s="181"/>
      <c r="E8" s="183"/>
    </row>
    <row r="9" spans="1:33" ht="19" thickBot="1" x14ac:dyDescent="0.5">
      <c r="A9" s="175" t="s">
        <v>62</v>
      </c>
      <c r="B9" s="176"/>
      <c r="C9" s="199">
        <v>79733.8</v>
      </c>
      <c r="D9" s="200"/>
      <c r="E9" s="201"/>
    </row>
    <row r="10" spans="1:33" ht="15" thickTop="1" x14ac:dyDescent="0.35"/>
    <row r="12" spans="1:33" ht="24" thickBot="1" x14ac:dyDescent="0.6">
      <c r="A12" s="194" t="s">
        <v>63</v>
      </c>
      <c r="B12" s="194"/>
    </row>
    <row r="13" spans="1:33" ht="18.5" x14ac:dyDescent="0.45">
      <c r="A13" s="103" t="s">
        <v>64</v>
      </c>
      <c r="B13" s="122" t="s">
        <v>18</v>
      </c>
      <c r="C13" s="89">
        <v>2020</v>
      </c>
      <c r="D13" s="79">
        <v>2021</v>
      </c>
      <c r="E13" s="79">
        <v>2022</v>
      </c>
      <c r="F13" s="79">
        <v>2023</v>
      </c>
      <c r="G13" s="79">
        <v>2024</v>
      </c>
      <c r="H13" s="79">
        <v>2025</v>
      </c>
      <c r="I13" s="79">
        <v>2026</v>
      </c>
      <c r="J13" s="79">
        <v>2027</v>
      </c>
      <c r="K13" s="79">
        <v>2028</v>
      </c>
      <c r="L13" s="79">
        <v>2029</v>
      </c>
      <c r="M13" s="79">
        <v>2030</v>
      </c>
      <c r="N13" s="79">
        <v>2031</v>
      </c>
      <c r="O13" s="79">
        <v>2032</v>
      </c>
      <c r="P13" s="79">
        <v>2033</v>
      </c>
      <c r="Q13" s="79">
        <v>2034</v>
      </c>
      <c r="R13" s="79">
        <v>2035</v>
      </c>
      <c r="S13" s="79">
        <v>2036</v>
      </c>
      <c r="T13" s="79">
        <v>2037</v>
      </c>
      <c r="U13" s="79">
        <v>2038</v>
      </c>
      <c r="V13" s="79">
        <v>2039</v>
      </c>
      <c r="W13" s="79">
        <v>2040</v>
      </c>
      <c r="X13" s="79">
        <v>2041</v>
      </c>
      <c r="Y13" s="79">
        <v>2042</v>
      </c>
      <c r="Z13" s="79">
        <v>2043</v>
      </c>
      <c r="AA13" s="79">
        <v>2044</v>
      </c>
      <c r="AB13" s="79">
        <v>2045</v>
      </c>
      <c r="AC13" s="79">
        <v>2046</v>
      </c>
      <c r="AD13" s="79">
        <v>2047</v>
      </c>
      <c r="AE13" s="79">
        <v>2048</v>
      </c>
      <c r="AF13" s="79">
        <v>2049</v>
      </c>
      <c r="AG13" s="79">
        <v>2050</v>
      </c>
    </row>
    <row r="14" spans="1:33" ht="19" thickBot="1" x14ac:dyDescent="0.5">
      <c r="A14" s="137">
        <f>SUM(N14:AG14)</f>
        <v>429403.16204900754</v>
      </c>
      <c r="B14" s="134">
        <v>7.0000000000000007E-2</v>
      </c>
      <c r="C14" s="89">
        <v>0</v>
      </c>
      <c r="D14" s="79">
        <v>0</v>
      </c>
      <c r="E14" s="79">
        <v>0</v>
      </c>
      <c r="F14" s="79">
        <v>0</v>
      </c>
      <c r="G14" s="79">
        <v>0</v>
      </c>
      <c r="H14" s="79">
        <v>0</v>
      </c>
      <c r="I14" s="79">
        <v>0</v>
      </c>
      <c r="J14" s="79">
        <v>0</v>
      </c>
      <c r="K14" s="79">
        <v>0</v>
      </c>
      <c r="L14" s="79">
        <v>0</v>
      </c>
      <c r="M14" s="79">
        <v>0</v>
      </c>
      <c r="N14" s="81">
        <f t="shared" ref="N14:AG14" si="0">$C$9*(1+$B$14)^-(N13-2020)</f>
        <v>37880.954008608562</v>
      </c>
      <c r="O14" s="81">
        <f t="shared" si="0"/>
        <v>35402.760755708943</v>
      </c>
      <c r="P14" s="81">
        <f t="shared" si="0"/>
        <v>33086.69229505508</v>
      </c>
      <c r="Q14" s="81">
        <f t="shared" si="0"/>
        <v>30922.142331827181</v>
      </c>
      <c r="R14" s="81">
        <f t="shared" si="0"/>
        <v>28899.198440959979</v>
      </c>
      <c r="S14" s="81">
        <f t="shared" si="0"/>
        <v>27008.596673794375</v>
      </c>
      <c r="T14" s="81">
        <f t="shared" si="0"/>
        <v>25241.679134387268</v>
      </c>
      <c r="U14" s="81">
        <f t="shared" si="0"/>
        <v>23590.354331203052</v>
      </c>
      <c r="V14" s="81">
        <f t="shared" si="0"/>
        <v>22047.060122619674</v>
      </c>
      <c r="W14" s="81">
        <f t="shared" si="0"/>
        <v>20604.729086560445</v>
      </c>
      <c r="X14" s="81">
        <f t="shared" si="0"/>
        <v>19256.756155663967</v>
      </c>
      <c r="Y14" s="81">
        <f t="shared" si="0"/>
        <v>17996.96836977941</v>
      </c>
      <c r="Z14" s="81">
        <f t="shared" si="0"/>
        <v>16819.596607270472</v>
      </c>
      <c r="AA14" s="81">
        <f t="shared" si="0"/>
        <v>15719.24916567334</v>
      </c>
      <c r="AB14" s="81">
        <f t="shared" si="0"/>
        <v>14690.887070722745</v>
      </c>
      <c r="AC14" s="81">
        <f t="shared" si="0"/>
        <v>13729.801000675467</v>
      </c>
      <c r="AD14" s="81">
        <f t="shared" si="0"/>
        <v>12831.589720257442</v>
      </c>
      <c r="AE14" s="81">
        <f t="shared" si="0"/>
        <v>11992.139925474246</v>
      </c>
      <c r="AF14" s="81">
        <f t="shared" si="0"/>
        <v>11207.607406985278</v>
      </c>
      <c r="AG14" s="81">
        <f t="shared" si="0"/>
        <v>10474.399445780635</v>
      </c>
    </row>
  </sheetData>
  <mergeCells count="15">
    <mergeCell ref="A9:B9"/>
    <mergeCell ref="C9:E9"/>
    <mergeCell ref="A12:B12"/>
    <mergeCell ref="A6:B6"/>
    <mergeCell ref="C6:E6"/>
    <mergeCell ref="A7:B7"/>
    <mergeCell ref="C7:E7"/>
    <mergeCell ref="A8:B8"/>
    <mergeCell ref="C8:E8"/>
    <mergeCell ref="A3:B3"/>
    <mergeCell ref="C3:E3"/>
    <mergeCell ref="A4:B4"/>
    <mergeCell ref="C4:E4"/>
    <mergeCell ref="A5:B5"/>
    <mergeCell ref="C5:E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26717-E94D-42C5-88EE-A21211E2CFB2}">
  <dimension ref="A1:AG14"/>
  <sheetViews>
    <sheetView workbookViewId="0">
      <selection activeCell="A14" sqref="A14"/>
    </sheetView>
  </sheetViews>
  <sheetFormatPr defaultRowHeight="14.5" x14ac:dyDescent="0.35"/>
  <cols>
    <col min="1" max="1" width="16.1796875" customWidth="1"/>
    <col min="2" max="2" width="15.453125" customWidth="1"/>
    <col min="3" max="9" width="9" bestFit="1" customWidth="1"/>
    <col min="10" max="13" width="11.1796875" bestFit="1" customWidth="1"/>
    <col min="14" max="21" width="14.453125" bestFit="1" customWidth="1"/>
    <col min="22" max="33" width="13.1796875" bestFit="1" customWidth="1"/>
  </cols>
  <sheetData>
    <row r="1" spans="1:33" x14ac:dyDescent="0.35">
      <c r="A1" t="s">
        <v>70</v>
      </c>
    </row>
    <row r="2" spans="1:33" ht="15" thickBot="1" x14ac:dyDescent="0.4"/>
    <row r="3" spans="1:33" ht="22" thickTop="1" thickBot="1" x14ac:dyDescent="0.55000000000000004">
      <c r="A3" s="160" t="s">
        <v>1</v>
      </c>
      <c r="B3" s="161"/>
      <c r="C3" s="160" t="s">
        <v>65</v>
      </c>
      <c r="D3" s="161"/>
      <c r="E3" s="162"/>
    </row>
    <row r="4" spans="1:33" ht="19" thickTop="1" x14ac:dyDescent="0.45">
      <c r="A4" s="184" t="s">
        <v>9</v>
      </c>
      <c r="B4" s="185"/>
      <c r="C4" s="186" t="s">
        <v>10</v>
      </c>
      <c r="D4" s="185"/>
      <c r="E4" s="187"/>
    </row>
    <row r="5" spans="1:33" ht="18.5" x14ac:dyDescent="0.45">
      <c r="A5" s="180" t="s">
        <v>11</v>
      </c>
      <c r="B5" s="181"/>
      <c r="C5" s="182">
        <v>125</v>
      </c>
      <c r="D5" s="181"/>
      <c r="E5" s="183"/>
    </row>
    <row r="6" spans="1:33" ht="18.5" x14ac:dyDescent="0.45">
      <c r="A6" s="180" t="s">
        <v>12</v>
      </c>
      <c r="B6" s="181"/>
      <c r="C6" s="182">
        <v>33</v>
      </c>
      <c r="D6" s="181"/>
      <c r="E6" s="183"/>
    </row>
    <row r="7" spans="1:33" ht="18.5" x14ac:dyDescent="0.45">
      <c r="A7" s="180" t="s">
        <v>13</v>
      </c>
      <c r="B7" s="181"/>
      <c r="C7" s="182">
        <v>7746</v>
      </c>
      <c r="D7" s="181"/>
      <c r="E7" s="183"/>
    </row>
    <row r="8" spans="1:33" ht="18.5" x14ac:dyDescent="0.45">
      <c r="A8" s="180" t="s">
        <v>14</v>
      </c>
      <c r="B8" s="181"/>
      <c r="C8" s="182">
        <v>2097</v>
      </c>
      <c r="D8" s="181"/>
      <c r="E8" s="183"/>
    </row>
    <row r="9" spans="1:33" ht="19" thickBot="1" x14ac:dyDescent="0.5">
      <c r="A9" s="175" t="s">
        <v>62</v>
      </c>
      <c r="B9" s="176"/>
      <c r="C9" s="202">
        <v>338204.15999999997</v>
      </c>
      <c r="D9" s="203"/>
      <c r="E9" s="204"/>
    </row>
    <row r="10" spans="1:33" ht="15" thickTop="1" x14ac:dyDescent="0.35"/>
    <row r="12" spans="1:33" ht="24" thickBot="1" x14ac:dyDescent="0.6">
      <c r="A12" s="3" t="s">
        <v>71</v>
      </c>
    </row>
    <row r="13" spans="1:33" ht="18.5" x14ac:dyDescent="0.45">
      <c r="A13" s="103" t="s">
        <v>69</v>
      </c>
      <c r="B13" s="122" t="s">
        <v>18</v>
      </c>
      <c r="C13" s="89">
        <v>2020</v>
      </c>
      <c r="D13" s="79">
        <v>2021</v>
      </c>
      <c r="E13" s="79">
        <v>2022</v>
      </c>
      <c r="F13" s="79">
        <v>2023</v>
      </c>
      <c r="G13" s="79">
        <v>2024</v>
      </c>
      <c r="H13" s="79">
        <v>2025</v>
      </c>
      <c r="I13" s="79">
        <v>2026</v>
      </c>
      <c r="J13" s="79">
        <v>2027</v>
      </c>
      <c r="K13" s="79">
        <v>2028</v>
      </c>
      <c r="L13" s="79">
        <v>2029</v>
      </c>
      <c r="M13" s="79">
        <v>2030</v>
      </c>
      <c r="N13" s="79">
        <v>2031</v>
      </c>
      <c r="O13" s="79">
        <v>2032</v>
      </c>
      <c r="P13" s="79">
        <v>2033</v>
      </c>
      <c r="Q13" s="79">
        <v>2034</v>
      </c>
      <c r="R13" s="79">
        <v>2035</v>
      </c>
      <c r="S13" s="79">
        <v>2036</v>
      </c>
      <c r="T13" s="79">
        <v>2037</v>
      </c>
      <c r="U13" s="79">
        <v>2038</v>
      </c>
      <c r="V13" s="79">
        <v>2039</v>
      </c>
      <c r="W13" s="79">
        <v>2040</v>
      </c>
      <c r="X13" s="79">
        <v>2041</v>
      </c>
      <c r="Y13" s="79">
        <v>2042</v>
      </c>
      <c r="Z13" s="79">
        <v>2043</v>
      </c>
      <c r="AA13" s="79">
        <v>2044</v>
      </c>
      <c r="AB13" s="79">
        <v>2045</v>
      </c>
      <c r="AC13" s="79">
        <v>2046</v>
      </c>
      <c r="AD13" s="79">
        <v>2047</v>
      </c>
      <c r="AE13" s="79">
        <v>2048</v>
      </c>
      <c r="AF13" s="79">
        <v>2049</v>
      </c>
      <c r="AG13" s="79">
        <v>2050</v>
      </c>
    </row>
    <row r="14" spans="1:33" ht="19" thickBot="1" x14ac:dyDescent="0.5">
      <c r="A14" s="139">
        <f>SUM(N14:AG14)</f>
        <v>1821384.8546303883</v>
      </c>
      <c r="B14" s="134">
        <v>7.0000000000000007E-2</v>
      </c>
      <c r="C14" s="89">
        <v>0</v>
      </c>
      <c r="D14" s="79">
        <v>0</v>
      </c>
      <c r="E14" s="79">
        <v>0</v>
      </c>
      <c r="F14" s="79">
        <v>0</v>
      </c>
      <c r="G14" s="79">
        <v>0</v>
      </c>
      <c r="H14" s="79">
        <v>0</v>
      </c>
      <c r="I14" s="79">
        <v>0</v>
      </c>
      <c r="J14" s="138">
        <v>0</v>
      </c>
      <c r="K14" s="138">
        <v>0</v>
      </c>
      <c r="L14" s="138">
        <v>0</v>
      </c>
      <c r="M14" s="138">
        <v>0</v>
      </c>
      <c r="N14" s="138">
        <f t="shared" ref="N14:AG14" si="0">$C$9*(1+$B$14)^-(N13-2020)</f>
        <v>160678.36012431479</v>
      </c>
      <c r="O14" s="138">
        <f t="shared" si="0"/>
        <v>150166.69170496709</v>
      </c>
      <c r="P14" s="138">
        <f t="shared" si="0"/>
        <v>140342.70252800663</v>
      </c>
      <c r="Q14" s="138">
        <f t="shared" si="0"/>
        <v>131161.4042317819</v>
      </c>
      <c r="R14" s="138">
        <f t="shared" si="0"/>
        <v>122580.75161848775</v>
      </c>
      <c r="S14" s="138">
        <f t="shared" si="0"/>
        <v>114561.45011073623</v>
      </c>
      <c r="T14" s="138">
        <f t="shared" si="0"/>
        <v>107066.77580442639</v>
      </c>
      <c r="U14" s="138">
        <f t="shared" si="0"/>
        <v>100062.40729385642</v>
      </c>
      <c r="V14" s="138">
        <f t="shared" si="0"/>
        <v>93516.26849893124</v>
      </c>
      <c r="W14" s="138">
        <f t="shared" si="0"/>
        <v>87398.381774702095</v>
      </c>
      <c r="X14" s="138">
        <f t="shared" si="0"/>
        <v>81680.730630562699</v>
      </c>
      <c r="Y14" s="138">
        <f t="shared" si="0"/>
        <v>76337.131430432433</v>
      </c>
      <c r="Z14" s="138">
        <f t="shared" si="0"/>
        <v>71343.113486385453</v>
      </c>
      <c r="AA14" s="138">
        <f t="shared" si="0"/>
        <v>66675.806996621919</v>
      </c>
      <c r="AB14" s="138">
        <f t="shared" si="0"/>
        <v>62313.838314599911</v>
      </c>
      <c r="AC14" s="138">
        <f t="shared" si="0"/>
        <v>58237.232069719554</v>
      </c>
      <c r="AD14" s="138">
        <f t="shared" si="0"/>
        <v>54427.319691326673</v>
      </c>
      <c r="AE14" s="138">
        <f t="shared" si="0"/>
        <v>50866.65391712774</v>
      </c>
      <c r="AF14" s="138">
        <f t="shared" si="0"/>
        <v>47538.928894511911</v>
      </c>
      <c r="AG14" s="138">
        <f t="shared" si="0"/>
        <v>44428.905508889635</v>
      </c>
    </row>
  </sheetData>
  <mergeCells count="14">
    <mergeCell ref="A3:B3"/>
    <mergeCell ref="C3:E3"/>
    <mergeCell ref="A4:B4"/>
    <mergeCell ref="C4:E4"/>
    <mergeCell ref="A5:B5"/>
    <mergeCell ref="C5:E5"/>
    <mergeCell ref="A9:B9"/>
    <mergeCell ref="C9:E9"/>
    <mergeCell ref="A6:B6"/>
    <mergeCell ref="C6:E6"/>
    <mergeCell ref="A7:B7"/>
    <mergeCell ref="C7:E7"/>
    <mergeCell ref="A8:B8"/>
    <mergeCell ref="C8:E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12DBC-02B8-43D1-88B4-F2EE5B33D603}">
  <dimension ref="A4:AI29"/>
  <sheetViews>
    <sheetView topLeftCell="A10" workbookViewId="0">
      <selection activeCell="A26" sqref="A26:B26"/>
    </sheetView>
  </sheetViews>
  <sheetFormatPr defaultRowHeight="14.5" x14ac:dyDescent="0.35"/>
  <cols>
    <col min="1" max="1" width="14.81640625" customWidth="1"/>
    <col min="2" max="3" width="13.54296875" bestFit="1" customWidth="1"/>
    <col min="4" max="4" width="9" customWidth="1"/>
    <col min="5" max="5" width="11.54296875" bestFit="1" customWidth="1"/>
    <col min="6" max="6" width="9.54296875" customWidth="1"/>
    <col min="7" max="7" width="10.1796875" customWidth="1"/>
    <col min="10" max="10" width="31.81640625" bestFit="1" customWidth="1"/>
    <col min="11" max="11" width="18" customWidth="1"/>
    <col min="12" max="15" width="13.1796875" bestFit="1" customWidth="1"/>
    <col min="16" max="35" width="11" bestFit="1" customWidth="1"/>
  </cols>
  <sheetData>
    <row r="4" spans="1:11" ht="18.5" x14ac:dyDescent="0.45">
      <c r="J4" s="188" t="s">
        <v>142</v>
      </c>
      <c r="K4" s="189"/>
    </row>
    <row r="5" spans="1:11" ht="18.5" x14ac:dyDescent="0.45">
      <c r="J5" s="108" t="s">
        <v>143</v>
      </c>
      <c r="K5" s="79">
        <v>0.75</v>
      </c>
    </row>
    <row r="6" spans="1:11" ht="18.5" x14ac:dyDescent="0.45">
      <c r="J6" s="108" t="s">
        <v>106</v>
      </c>
      <c r="K6" s="79">
        <v>0.73</v>
      </c>
    </row>
    <row r="7" spans="1:11" ht="18.5" x14ac:dyDescent="0.45">
      <c r="J7" s="108" t="s">
        <v>144</v>
      </c>
      <c r="K7" s="79">
        <v>0.75</v>
      </c>
    </row>
    <row r="8" spans="1:11" ht="18.5" x14ac:dyDescent="0.45">
      <c r="J8" s="108" t="s">
        <v>145</v>
      </c>
      <c r="K8" s="79">
        <v>0.75</v>
      </c>
    </row>
    <row r="9" spans="1:11" ht="18.5" x14ac:dyDescent="0.45">
      <c r="J9" s="108" t="s">
        <v>146</v>
      </c>
      <c r="K9" s="79">
        <v>0.8</v>
      </c>
    </row>
    <row r="10" spans="1:11" ht="18.5" x14ac:dyDescent="0.45">
      <c r="J10" s="108" t="s">
        <v>5</v>
      </c>
      <c r="K10" s="107">
        <f>(K5*K6*K8*K7*K9)^K6</f>
        <v>0.35963797631278405</v>
      </c>
    </row>
    <row r="12" spans="1:11" ht="21.5" thickBot="1" x14ac:dyDescent="0.55000000000000004">
      <c r="A12" s="230" t="s">
        <v>37</v>
      </c>
      <c r="B12" s="230"/>
      <c r="C12" s="230"/>
      <c r="D12" s="230"/>
      <c r="E12" s="17"/>
      <c r="I12" s="219" t="s">
        <v>51</v>
      </c>
      <c r="J12" s="219"/>
      <c r="K12" s="219"/>
    </row>
    <row r="13" spans="1:11" ht="18" customHeight="1" x14ac:dyDescent="0.45">
      <c r="A13" s="228" t="s">
        <v>38</v>
      </c>
      <c r="B13" s="231"/>
      <c r="C13" s="226"/>
      <c r="D13" s="228" t="s">
        <v>46</v>
      </c>
      <c r="E13" s="226" t="s">
        <v>47</v>
      </c>
      <c r="G13" s="78" t="s">
        <v>50</v>
      </c>
      <c r="I13" s="220" t="s">
        <v>52</v>
      </c>
      <c r="J13" s="220" t="s">
        <v>53</v>
      </c>
      <c r="K13" s="220"/>
    </row>
    <row r="14" spans="1:11" ht="15" customHeight="1" thickBot="1" x14ac:dyDescent="0.5">
      <c r="A14" s="229"/>
      <c r="B14" s="232"/>
      <c r="C14" s="227"/>
      <c r="D14" s="229"/>
      <c r="E14" s="227"/>
      <c r="G14" s="16">
        <v>0.73</v>
      </c>
      <c r="I14" s="221"/>
      <c r="J14" s="221"/>
      <c r="K14" s="221"/>
    </row>
    <row r="15" spans="1:11" ht="19" thickBot="1" x14ac:dyDescent="0.5">
      <c r="A15" s="18" t="s">
        <v>39</v>
      </c>
      <c r="B15" s="212" t="s">
        <v>36</v>
      </c>
      <c r="C15" s="213"/>
      <c r="D15" s="21">
        <v>1</v>
      </c>
      <c r="E15" s="19">
        <f>D15/5</f>
        <v>0.2</v>
      </c>
      <c r="I15" s="18" t="s">
        <v>39</v>
      </c>
      <c r="J15" s="222">
        <v>11600000</v>
      </c>
      <c r="K15" s="223"/>
    </row>
    <row r="16" spans="1:11" ht="19" thickBot="1" x14ac:dyDescent="0.5">
      <c r="A16" s="16" t="s">
        <v>40</v>
      </c>
      <c r="B16" s="182" t="s">
        <v>41</v>
      </c>
      <c r="C16" s="214"/>
      <c r="D16" s="20">
        <v>12</v>
      </c>
      <c r="E16" s="19">
        <f t="shared" ref="E16:E19" si="0">D16/5</f>
        <v>2.4</v>
      </c>
      <c r="I16" s="16" t="s">
        <v>40</v>
      </c>
      <c r="J16" s="224">
        <v>554800</v>
      </c>
      <c r="K16" s="225"/>
    </row>
    <row r="17" spans="1:35" ht="19" thickBot="1" x14ac:dyDescent="0.5">
      <c r="A17" s="16" t="s">
        <v>42</v>
      </c>
      <c r="B17" s="182" t="s">
        <v>43</v>
      </c>
      <c r="C17" s="214"/>
      <c r="D17" s="20">
        <v>66</v>
      </c>
      <c r="E17" s="19">
        <f t="shared" si="0"/>
        <v>13.2</v>
      </c>
      <c r="I17" s="16" t="s">
        <v>42</v>
      </c>
      <c r="J17" s="224">
        <v>151100</v>
      </c>
      <c r="K17" s="225"/>
    </row>
    <row r="18" spans="1:35" ht="19" thickBot="1" x14ac:dyDescent="0.5">
      <c r="A18" s="16" t="s">
        <v>44</v>
      </c>
      <c r="B18" s="182" t="s">
        <v>35</v>
      </c>
      <c r="C18" s="214"/>
      <c r="D18" s="20">
        <v>90</v>
      </c>
      <c r="E18" s="19">
        <f t="shared" si="0"/>
        <v>18</v>
      </c>
      <c r="I18" s="16" t="s">
        <v>44</v>
      </c>
      <c r="J18" s="224">
        <v>77200</v>
      </c>
      <c r="K18" s="225"/>
    </row>
    <row r="19" spans="1:35" ht="18.5" x14ac:dyDescent="0.45">
      <c r="A19" s="16" t="s">
        <v>45</v>
      </c>
      <c r="B19" s="182" t="s">
        <v>34</v>
      </c>
      <c r="C19" s="214"/>
      <c r="D19" s="20">
        <v>326</v>
      </c>
      <c r="E19" s="19">
        <f t="shared" si="0"/>
        <v>65.2</v>
      </c>
      <c r="I19" s="16" t="s">
        <v>45</v>
      </c>
      <c r="J19" s="224">
        <v>3900</v>
      </c>
      <c r="K19" s="225"/>
    </row>
    <row r="20" spans="1:35" ht="18.5" x14ac:dyDescent="0.45">
      <c r="I20" s="22"/>
      <c r="J20" s="205"/>
      <c r="K20" s="206"/>
    </row>
    <row r="21" spans="1:35" ht="18.5" x14ac:dyDescent="0.45">
      <c r="B21" t="s">
        <v>55</v>
      </c>
      <c r="C21" t="s">
        <v>56</v>
      </c>
      <c r="I21" s="22"/>
      <c r="J21" s="24"/>
      <c r="K21" s="25"/>
    </row>
    <row r="22" spans="1:35" x14ac:dyDescent="0.35">
      <c r="A22" s="23" t="s">
        <v>54</v>
      </c>
      <c r="B22" s="2">
        <f>E15*J15+E16*J16+E17*J17+E18*J18+E19*J19</f>
        <v>7289920</v>
      </c>
      <c r="C22" s="2">
        <f>(1-G14)*B22</f>
        <v>1968278.4000000001</v>
      </c>
    </row>
    <row r="24" spans="1:35" ht="24" thickBot="1" x14ac:dyDescent="0.6">
      <c r="A24" s="207" t="s">
        <v>57</v>
      </c>
      <c r="B24" s="207"/>
      <c r="C24" s="207"/>
      <c r="D24" s="207"/>
    </row>
    <row r="25" spans="1:35" ht="19.5" thickTop="1" thickBot="1" x14ac:dyDescent="0.5">
      <c r="A25" s="208" t="s">
        <v>58</v>
      </c>
      <c r="B25" s="209"/>
      <c r="C25" s="210" t="s">
        <v>18</v>
      </c>
      <c r="D25" s="211"/>
      <c r="E25" s="7">
        <v>2020</v>
      </c>
      <c r="F25" s="8">
        <v>2021</v>
      </c>
      <c r="G25" s="8">
        <v>2022</v>
      </c>
      <c r="H25" s="8">
        <v>2023</v>
      </c>
      <c r="I25" s="8">
        <v>2024</v>
      </c>
      <c r="J25" s="8">
        <v>2025</v>
      </c>
      <c r="K25" s="8">
        <v>2026</v>
      </c>
      <c r="L25" s="8">
        <v>2027</v>
      </c>
      <c r="M25" s="8">
        <v>2028</v>
      </c>
      <c r="N25" s="8">
        <v>2029</v>
      </c>
      <c r="O25" s="8">
        <v>2030</v>
      </c>
      <c r="P25" s="8">
        <v>2031</v>
      </c>
      <c r="Q25" s="8">
        <v>2032</v>
      </c>
      <c r="R25" s="8">
        <v>2033</v>
      </c>
      <c r="S25" s="8">
        <v>2034</v>
      </c>
      <c r="T25" s="8">
        <v>2035</v>
      </c>
      <c r="U25" s="8">
        <v>2036</v>
      </c>
      <c r="V25" s="8">
        <v>2037</v>
      </c>
      <c r="W25" s="8">
        <v>2038</v>
      </c>
      <c r="X25" s="8">
        <v>2039</v>
      </c>
      <c r="Y25" s="8">
        <v>2040</v>
      </c>
      <c r="Z25" s="8">
        <v>2041</v>
      </c>
      <c r="AA25" s="8">
        <v>2042</v>
      </c>
      <c r="AB25" s="8">
        <v>2043</v>
      </c>
      <c r="AC25" s="8">
        <v>2044</v>
      </c>
      <c r="AD25" s="8">
        <v>2045</v>
      </c>
      <c r="AE25" s="8">
        <v>2046</v>
      </c>
      <c r="AF25" s="8">
        <v>2047</v>
      </c>
      <c r="AG25" s="8">
        <v>2048</v>
      </c>
      <c r="AH25" s="8">
        <v>2049</v>
      </c>
      <c r="AI25" s="8">
        <v>2050</v>
      </c>
    </row>
    <row r="26" spans="1:35" ht="19" thickBot="1" x14ac:dyDescent="0.5">
      <c r="A26" s="215">
        <f>SUM(P26:AI26)</f>
        <v>10600083.888548663</v>
      </c>
      <c r="B26" s="216"/>
      <c r="C26" s="217">
        <v>7.0000000000000007E-2</v>
      </c>
      <c r="D26" s="218"/>
      <c r="E26" s="11">
        <v>0</v>
      </c>
      <c r="F26" s="12">
        <v>0</v>
      </c>
      <c r="G26" s="12">
        <v>0</v>
      </c>
      <c r="H26" s="12">
        <v>0</v>
      </c>
      <c r="I26" s="12">
        <v>0</v>
      </c>
      <c r="J26" s="12">
        <v>0</v>
      </c>
      <c r="K26" s="12">
        <v>0</v>
      </c>
      <c r="L26" s="12">
        <v>0</v>
      </c>
      <c r="M26" s="12">
        <v>0</v>
      </c>
      <c r="N26" s="12">
        <v>0</v>
      </c>
      <c r="O26" s="12">
        <v>0</v>
      </c>
      <c r="P26" s="12">
        <f>$C$22*(1+$C$26)^-(P25-2020)</f>
        <v>935114.88912528497</v>
      </c>
      <c r="Q26" s="12">
        <f t="shared" ref="Q26:AI26" si="1">$C$22*(1+$C$26)^-(Q25-2020)</f>
        <v>873939.14871521969</v>
      </c>
      <c r="R26" s="12">
        <f t="shared" si="1"/>
        <v>816765.55954693421</v>
      </c>
      <c r="S26" s="12">
        <f t="shared" si="1"/>
        <v>763332.29864199471</v>
      </c>
      <c r="T26" s="12">
        <f t="shared" si="1"/>
        <v>713394.67162803235</v>
      </c>
      <c r="U26" s="12">
        <f t="shared" si="1"/>
        <v>666723.99217573123</v>
      </c>
      <c r="V26" s="12">
        <f t="shared" si="1"/>
        <v>623106.5347436741</v>
      </c>
      <c r="W26" s="12">
        <f t="shared" si="1"/>
        <v>582342.55583520932</v>
      </c>
      <c r="X26" s="12">
        <f t="shared" si="1"/>
        <v>544245.37928524241</v>
      </c>
      <c r="Y26" s="12">
        <f t="shared" si="1"/>
        <v>508640.54138807702</v>
      </c>
      <c r="Z26" s="12">
        <f t="shared" si="1"/>
        <v>475364.99195147387</v>
      </c>
      <c r="AA26" s="12">
        <f t="shared" si="1"/>
        <v>444266.34761819988</v>
      </c>
      <c r="AB26" s="12">
        <f t="shared" si="1"/>
        <v>415202.19403570076</v>
      </c>
      <c r="AC26" s="12">
        <f t="shared" si="1"/>
        <v>388039.43367822503</v>
      </c>
      <c r="AD26" s="12">
        <f t="shared" si="1"/>
        <v>362653.67633478972</v>
      </c>
      <c r="AE26" s="12">
        <f t="shared" si="1"/>
        <v>338928.6694717661</v>
      </c>
      <c r="AF26" s="12">
        <f t="shared" si="1"/>
        <v>316755.76586146362</v>
      </c>
      <c r="AG26" s="12">
        <f t="shared" si="1"/>
        <v>296033.42603875109</v>
      </c>
      <c r="AH26" s="12">
        <f t="shared" si="1"/>
        <v>276666.75330724398</v>
      </c>
      <c r="AI26" s="12">
        <f t="shared" si="1"/>
        <v>258567.05916564862</v>
      </c>
    </row>
    <row r="27" spans="1:35" ht="19" thickTop="1" x14ac:dyDescent="0.45">
      <c r="A27" s="140"/>
      <c r="B27" s="140"/>
      <c r="C27" s="141"/>
      <c r="D27" s="141"/>
      <c r="E27" s="26"/>
      <c r="F27" s="26"/>
      <c r="G27" s="26"/>
      <c r="H27" s="26"/>
      <c r="I27" s="26"/>
      <c r="J27" s="26"/>
      <c r="K27" s="26"/>
      <c r="L27" s="26"/>
      <c r="M27" s="26"/>
      <c r="N27" s="26"/>
      <c r="O27" s="26"/>
      <c r="P27" s="26"/>
      <c r="Q27" s="26"/>
      <c r="R27" s="26"/>
      <c r="S27" s="26"/>
      <c r="T27" s="26"/>
      <c r="U27" s="26"/>
      <c r="V27" s="26"/>
      <c r="W27" s="26"/>
      <c r="X27" s="26"/>
      <c r="Y27" s="26"/>
      <c r="Z27" s="26"/>
      <c r="AA27" s="26"/>
      <c r="AB27" s="26"/>
      <c r="AC27" s="26"/>
      <c r="AD27" s="26"/>
      <c r="AE27" s="26"/>
    </row>
    <row r="28" spans="1:35" x14ac:dyDescent="0.35">
      <c r="A28" t="s">
        <v>48</v>
      </c>
    </row>
    <row r="29" spans="1:35" x14ac:dyDescent="0.35">
      <c r="A29" t="s">
        <v>49</v>
      </c>
    </row>
  </sheetData>
  <mergeCells count="24">
    <mergeCell ref="A26:B26"/>
    <mergeCell ref="C26:D26"/>
    <mergeCell ref="I12:K12"/>
    <mergeCell ref="I13:I14"/>
    <mergeCell ref="J13:K14"/>
    <mergeCell ref="J15:K15"/>
    <mergeCell ref="J16:K16"/>
    <mergeCell ref="B18:C18"/>
    <mergeCell ref="B19:C19"/>
    <mergeCell ref="E13:E14"/>
    <mergeCell ref="D13:D14"/>
    <mergeCell ref="J19:K19"/>
    <mergeCell ref="J17:K17"/>
    <mergeCell ref="J18:K18"/>
    <mergeCell ref="A12:D12"/>
    <mergeCell ref="A13:C14"/>
    <mergeCell ref="J4:K4"/>
    <mergeCell ref="J20:K20"/>
    <mergeCell ref="A24:D24"/>
    <mergeCell ref="A25:B25"/>
    <mergeCell ref="C25:D25"/>
    <mergeCell ref="B15:C15"/>
    <mergeCell ref="B16:C16"/>
    <mergeCell ref="B17:C1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ADC72-6B60-484F-A00A-3D995F6B95EE}">
  <dimension ref="A1:AG14"/>
  <sheetViews>
    <sheetView workbookViewId="0">
      <selection activeCell="A14" sqref="A14"/>
    </sheetView>
  </sheetViews>
  <sheetFormatPr defaultRowHeight="14.5" x14ac:dyDescent="0.35"/>
  <cols>
    <col min="1" max="1" width="18" customWidth="1"/>
    <col min="2" max="2" width="15.81640625" customWidth="1"/>
    <col min="3" max="3" width="12.81640625" customWidth="1"/>
    <col min="4" max="4" width="14.81640625" customWidth="1"/>
    <col min="5" max="13" width="9" bestFit="1" customWidth="1"/>
    <col min="14" max="32" width="16" bestFit="1" customWidth="1"/>
    <col min="33" max="33" width="14.54296875" bestFit="1" customWidth="1"/>
  </cols>
  <sheetData>
    <row r="1" spans="1:33" ht="23.5" x14ac:dyDescent="0.55000000000000004">
      <c r="A1" s="3" t="s">
        <v>147</v>
      </c>
    </row>
    <row r="2" spans="1:33" ht="18.5" x14ac:dyDescent="0.45">
      <c r="A2" s="188" t="s">
        <v>112</v>
      </c>
      <c r="B2" s="192"/>
      <c r="C2" s="192"/>
      <c r="D2" s="189"/>
    </row>
    <row r="3" spans="1:33" ht="74" x14ac:dyDescent="0.45">
      <c r="A3" s="108" t="s">
        <v>113</v>
      </c>
      <c r="B3" s="108" t="s">
        <v>115</v>
      </c>
      <c r="C3" s="108" t="s">
        <v>114</v>
      </c>
      <c r="D3" s="142" t="s">
        <v>116</v>
      </c>
    </row>
    <row r="4" spans="1:33" ht="18.5" x14ac:dyDescent="0.45">
      <c r="A4" s="79">
        <v>2</v>
      </c>
      <c r="B4" s="79">
        <v>33</v>
      </c>
      <c r="C4" s="79">
        <v>3</v>
      </c>
      <c r="D4" s="116">
        <f>B4*C4*5*365</f>
        <v>180675</v>
      </c>
    </row>
    <row r="5" spans="1:33" ht="18.5" x14ac:dyDescent="0.45">
      <c r="A5" s="79">
        <v>27</v>
      </c>
      <c r="B5" s="79">
        <v>8</v>
      </c>
      <c r="C5" s="79">
        <v>2</v>
      </c>
      <c r="D5" s="116">
        <f>B5*C5*5*365</f>
        <v>29200</v>
      </c>
    </row>
    <row r="6" spans="1:33" ht="19" thickBot="1" x14ac:dyDescent="0.5">
      <c r="D6" s="143">
        <f>SUM(D4:D5)</f>
        <v>209875</v>
      </c>
    </row>
    <row r="7" spans="1:33" ht="15" thickTop="1" x14ac:dyDescent="0.35"/>
    <row r="9" spans="1:33" ht="18.5" x14ac:dyDescent="0.45">
      <c r="A9" s="88" t="s">
        <v>117</v>
      </c>
    </row>
    <row r="10" spans="1:33" ht="18.5" x14ac:dyDescent="0.45">
      <c r="A10" s="81">
        <f>D6*17.8*0.2</f>
        <v>747155</v>
      </c>
    </row>
    <row r="11" spans="1:33" x14ac:dyDescent="0.35">
      <c r="A11" s="2"/>
    </row>
    <row r="12" spans="1:33" ht="15" thickBot="1" x14ac:dyDescent="0.4"/>
    <row r="13" spans="1:33" ht="18.5" x14ac:dyDescent="0.45">
      <c r="A13" s="103" t="s">
        <v>118</v>
      </c>
      <c r="B13" s="122" t="s">
        <v>18</v>
      </c>
      <c r="C13" s="89">
        <v>2020</v>
      </c>
      <c r="D13" s="79">
        <v>2021</v>
      </c>
      <c r="E13" s="79">
        <v>2022</v>
      </c>
      <c r="F13" s="79">
        <v>2023</v>
      </c>
      <c r="G13" s="79">
        <v>2024</v>
      </c>
      <c r="H13" s="79">
        <v>2025</v>
      </c>
      <c r="I13" s="79">
        <v>2026</v>
      </c>
      <c r="J13" s="79">
        <v>2027</v>
      </c>
      <c r="K13" s="79">
        <v>2028</v>
      </c>
      <c r="L13" s="79">
        <v>2029</v>
      </c>
      <c r="M13" s="79">
        <v>2030</v>
      </c>
      <c r="N13" s="79">
        <v>2031</v>
      </c>
      <c r="O13" s="79">
        <v>2032</v>
      </c>
      <c r="P13" s="79">
        <v>2033</v>
      </c>
      <c r="Q13" s="79">
        <v>2034</v>
      </c>
      <c r="R13" s="79">
        <v>2035</v>
      </c>
      <c r="S13" s="79">
        <v>2036</v>
      </c>
      <c r="T13" s="79">
        <v>2037</v>
      </c>
      <c r="U13" s="79">
        <v>2038</v>
      </c>
      <c r="V13" s="79">
        <v>2039</v>
      </c>
      <c r="W13" s="79">
        <v>2040</v>
      </c>
      <c r="X13" s="79">
        <v>2041</v>
      </c>
      <c r="Y13" s="79">
        <v>2042</v>
      </c>
      <c r="Z13" s="79">
        <v>2043</v>
      </c>
      <c r="AA13" s="79">
        <v>2044</v>
      </c>
      <c r="AB13" s="79">
        <v>2045</v>
      </c>
      <c r="AC13" s="79">
        <v>2046</v>
      </c>
      <c r="AD13" s="79">
        <v>2047</v>
      </c>
      <c r="AE13" s="79">
        <v>2048</v>
      </c>
      <c r="AF13" s="79">
        <v>2049</v>
      </c>
      <c r="AG13" s="79">
        <v>2050</v>
      </c>
    </row>
    <row r="14" spans="1:33" ht="19" thickBot="1" x14ac:dyDescent="0.5">
      <c r="A14" s="125">
        <f>SUM(N14:AG14)</f>
        <v>4023773.0992468223</v>
      </c>
      <c r="B14" s="134">
        <v>7.0000000000000007E-2</v>
      </c>
      <c r="C14" s="89">
        <v>0</v>
      </c>
      <c r="D14" s="79">
        <v>0</v>
      </c>
      <c r="E14" s="79">
        <v>0</v>
      </c>
      <c r="F14" s="79">
        <v>0</v>
      </c>
      <c r="G14" s="79">
        <v>0</v>
      </c>
      <c r="H14" s="79">
        <v>0</v>
      </c>
      <c r="I14" s="79">
        <v>0</v>
      </c>
      <c r="J14" s="79">
        <v>0</v>
      </c>
      <c r="K14" s="79">
        <v>0</v>
      </c>
      <c r="L14" s="79">
        <v>0</v>
      </c>
      <c r="M14" s="79">
        <v>0</v>
      </c>
      <c r="N14" s="81">
        <f>$A$10*(1+$B$14)^-(N13-2020)</f>
        <v>354967.95828496735</v>
      </c>
      <c r="O14" s="81">
        <f t="shared" ref="O14:AG14" si="0">$A$10*(1+$B$14)^-(O13-2020)</f>
        <v>331745.75540651154</v>
      </c>
      <c r="P14" s="81">
        <f t="shared" si="0"/>
        <v>310042.7620621603</v>
      </c>
      <c r="Q14" s="81">
        <f t="shared" si="0"/>
        <v>289759.5907122994</v>
      </c>
      <c r="R14" s="81">
        <f t="shared" si="0"/>
        <v>270803.35580588726</v>
      </c>
      <c r="S14" s="81">
        <f t="shared" si="0"/>
        <v>253087.24841671708</v>
      </c>
      <c r="T14" s="81">
        <f t="shared" si="0"/>
        <v>236530.13870721223</v>
      </c>
      <c r="U14" s="81">
        <f t="shared" si="0"/>
        <v>221056.20439926375</v>
      </c>
      <c r="V14" s="81">
        <f t="shared" si="0"/>
        <v>206594.58355071378</v>
      </c>
      <c r="W14" s="81">
        <f t="shared" si="0"/>
        <v>193079.05004739607</v>
      </c>
      <c r="X14" s="81">
        <f t="shared" si="0"/>
        <v>180447.71032466923</v>
      </c>
      <c r="Y14" s="81">
        <f t="shared" si="0"/>
        <v>168642.7199295974</v>
      </c>
      <c r="Z14" s="81">
        <f t="shared" si="0"/>
        <v>157610.01862579194</v>
      </c>
      <c r="AA14" s="81">
        <f t="shared" si="0"/>
        <v>147299.08282784294</v>
      </c>
      <c r="AB14" s="81">
        <f t="shared" si="0"/>
        <v>137662.69423162891</v>
      </c>
      <c r="AC14" s="81">
        <f t="shared" si="0"/>
        <v>128656.72358096162</v>
      </c>
      <c r="AD14" s="81">
        <f t="shared" si="0"/>
        <v>120239.92858033793</v>
      </c>
      <c r="AE14" s="81">
        <f t="shared" si="0"/>
        <v>112373.76502835323</v>
      </c>
      <c r="AF14" s="81">
        <f t="shared" si="0"/>
        <v>105022.21030687218</v>
      </c>
      <c r="AG14" s="81">
        <f t="shared" si="0"/>
        <v>98151.59841763755</v>
      </c>
    </row>
  </sheetData>
  <mergeCells count="1">
    <mergeCell ref="A2:D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421170AF5BE43409FC68393FF136782" ma:contentTypeVersion="0" ma:contentTypeDescription="Create a new document." ma:contentTypeScope="" ma:versionID="f7b6d2e719a37f45e82c917774d742f2">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2F46152-CF5B-4B7C-A8C1-4CEBBFD2B58D}"/>
</file>

<file path=customXml/itemProps2.xml><?xml version="1.0" encoding="utf-8"?>
<ds:datastoreItem xmlns:ds="http://schemas.openxmlformats.org/officeDocument/2006/customXml" ds:itemID="{6FCEA6DB-AA3D-4973-94A0-6BB1B8BCD22B}"/>
</file>

<file path=customXml/itemProps3.xml><?xml version="1.0" encoding="utf-8"?>
<ds:datastoreItem xmlns:ds="http://schemas.openxmlformats.org/officeDocument/2006/customXml" ds:itemID="{2D9A03BD-1D16-43CA-8FE5-3E784A81EF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BCA</vt:lpstr>
      <vt:lpstr>Costs</vt:lpstr>
      <vt:lpstr>Recreation</vt:lpstr>
      <vt:lpstr>Decreased Auto Use</vt:lpstr>
      <vt:lpstr>Environment</vt:lpstr>
      <vt:lpstr>Mobility</vt:lpstr>
      <vt:lpstr>Health</vt:lpstr>
      <vt:lpstr>Safety</vt:lpstr>
      <vt:lpstr>Time Saving</vt:lpstr>
      <vt:lpstr>Sensitivity Analysis</vt:lpstr>
      <vt:lpstr>Cost Timeline</vt:lpstr>
      <vt:lpstr>Census 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Garret McCoy;UAC</dc:creator>
  <cp:lastModifiedBy>Szuberla, Michael</cp:lastModifiedBy>
  <dcterms:created xsi:type="dcterms:W3CDTF">2022-03-21T01:33:28Z</dcterms:created>
  <dcterms:modified xsi:type="dcterms:W3CDTF">2022-04-05T11:58:00Z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0x010100D421170AF5BE43409FC68393FF136782</vt:lpwstr>
  </property>
</Properties>
</file>